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00.xml" ContentType="application/vnd.openxmlformats-officedocument.spreadsheetml.externalLink+xml"/>
  <Override PartName="/xl/externalLinks/externalLink201.xml" ContentType="application/vnd.openxmlformats-officedocument.spreadsheetml.externalLink+xml"/>
  <Override PartName="/xl/externalLinks/externalLink202.xml" ContentType="application/vnd.openxmlformats-officedocument.spreadsheetml.externalLink+xml"/>
  <Override PartName="/xl/externalLinks/externalLink203.xml" ContentType="application/vnd.openxmlformats-officedocument.spreadsheetml.externalLink+xml"/>
  <Override PartName="/xl/externalLinks/externalLink204.xml" ContentType="application/vnd.openxmlformats-officedocument.spreadsheetml.externalLink+xml"/>
  <Override PartName="/xl/externalLinks/externalLink205.xml" ContentType="application/vnd.openxmlformats-officedocument.spreadsheetml.externalLink+xml"/>
  <Override PartName="/xl/externalLinks/externalLink206.xml" ContentType="application/vnd.openxmlformats-officedocument.spreadsheetml.externalLink+xml"/>
  <Override PartName="/xl/externalLinks/externalLink207.xml" ContentType="application/vnd.openxmlformats-officedocument.spreadsheetml.externalLink+xml"/>
  <Override PartName="/xl/externalLinks/externalLink208.xml" ContentType="application/vnd.openxmlformats-officedocument.spreadsheetml.externalLink+xml"/>
  <Override PartName="/xl/externalLinks/externalLink209.xml" ContentType="application/vnd.openxmlformats-officedocument.spreadsheetml.externalLink+xml"/>
  <Override PartName="/xl/externalLinks/externalLink210.xml" ContentType="application/vnd.openxmlformats-officedocument.spreadsheetml.externalLink+xml"/>
  <Override PartName="/xl/externalLinks/externalLink211.xml" ContentType="application/vnd.openxmlformats-officedocument.spreadsheetml.externalLink+xml"/>
  <Override PartName="/xl/externalLinks/externalLink212.xml" ContentType="application/vnd.openxmlformats-officedocument.spreadsheetml.externalLink+xml"/>
  <Override PartName="/xl/externalLinks/externalLink213.xml" ContentType="application/vnd.openxmlformats-officedocument.spreadsheetml.externalLink+xml"/>
  <Override PartName="/xl/externalLinks/externalLink214.xml" ContentType="application/vnd.openxmlformats-officedocument.spreadsheetml.externalLink+xml"/>
  <Override PartName="/xl/externalLinks/externalLink215.xml" ContentType="application/vnd.openxmlformats-officedocument.spreadsheetml.externalLink+xml"/>
  <Override PartName="/xl/externalLinks/externalLink216.xml" ContentType="application/vnd.openxmlformats-officedocument.spreadsheetml.externalLink+xml"/>
  <Override PartName="/xl/externalLinks/externalLink217.xml" ContentType="application/vnd.openxmlformats-officedocument.spreadsheetml.externalLink+xml"/>
  <Override PartName="/xl/externalLinks/externalLink218.xml" ContentType="application/vnd.openxmlformats-officedocument.spreadsheetml.externalLink+xml"/>
  <Override PartName="/xl/externalLinks/externalLink219.xml" ContentType="application/vnd.openxmlformats-officedocument.spreadsheetml.externalLink+xml"/>
  <Override PartName="/xl/externalLinks/externalLink220.xml" ContentType="application/vnd.openxmlformats-officedocument.spreadsheetml.externalLink+xml"/>
  <Override PartName="/xl/externalLinks/externalLink221.xml" ContentType="application/vnd.openxmlformats-officedocument.spreadsheetml.externalLink+xml"/>
  <Override PartName="/xl/externalLinks/externalLink222.xml" ContentType="application/vnd.openxmlformats-officedocument.spreadsheetml.externalLink+xml"/>
  <Override PartName="/xl/externalLinks/externalLink223.xml" ContentType="application/vnd.openxmlformats-officedocument.spreadsheetml.externalLink+xml"/>
  <Override PartName="/xl/externalLinks/externalLink224.xml" ContentType="application/vnd.openxmlformats-officedocument.spreadsheetml.externalLink+xml"/>
  <Override PartName="/xl/externalLinks/externalLink225.xml" ContentType="application/vnd.openxmlformats-officedocument.spreadsheetml.externalLink+xml"/>
  <Override PartName="/xl/externalLinks/externalLink226.xml" ContentType="application/vnd.openxmlformats-officedocument.spreadsheetml.externalLink+xml"/>
  <Override PartName="/xl/externalLinks/externalLink227.xml" ContentType="application/vnd.openxmlformats-officedocument.spreadsheetml.externalLink+xml"/>
  <Override PartName="/xl/externalLinks/externalLink228.xml" ContentType="application/vnd.openxmlformats-officedocument.spreadsheetml.externalLink+xml"/>
  <Override PartName="/xl/externalLinks/externalLink229.xml" ContentType="application/vnd.openxmlformats-officedocument.spreadsheetml.externalLink+xml"/>
  <Override PartName="/xl/externalLinks/externalLink230.xml" ContentType="application/vnd.openxmlformats-officedocument.spreadsheetml.externalLink+xml"/>
  <Override PartName="/xl/externalLinks/externalLink231.xml" ContentType="application/vnd.openxmlformats-officedocument.spreadsheetml.externalLink+xml"/>
  <Override PartName="/xl/externalLinks/externalLink232.xml" ContentType="application/vnd.openxmlformats-officedocument.spreadsheetml.externalLink+xml"/>
  <Override PartName="/xl/externalLinks/externalLink233.xml" ContentType="application/vnd.openxmlformats-officedocument.spreadsheetml.externalLink+xml"/>
  <Override PartName="/xl/externalLinks/externalLink234.xml" ContentType="application/vnd.openxmlformats-officedocument.spreadsheetml.externalLink+xml"/>
  <Override PartName="/xl/externalLinks/externalLink235.xml" ContentType="application/vnd.openxmlformats-officedocument.spreadsheetml.externalLink+xml"/>
  <Override PartName="/xl/externalLinks/externalLink236.xml" ContentType="application/vnd.openxmlformats-officedocument.spreadsheetml.externalLink+xml"/>
  <Override PartName="/xl/externalLinks/externalLink237.xml" ContentType="application/vnd.openxmlformats-officedocument.spreadsheetml.externalLink+xml"/>
  <Override PartName="/xl/externalLinks/externalLink238.xml" ContentType="application/vnd.openxmlformats-officedocument.spreadsheetml.externalLink+xml"/>
  <Override PartName="/xl/externalLinks/externalLink239.xml" ContentType="application/vnd.openxmlformats-officedocument.spreadsheetml.externalLink+xml"/>
  <Override PartName="/xl/externalLinks/externalLink240.xml" ContentType="application/vnd.openxmlformats-officedocument.spreadsheetml.externalLink+xml"/>
  <Override PartName="/xl/externalLinks/externalLink241.xml" ContentType="application/vnd.openxmlformats-officedocument.spreadsheetml.externalLink+xml"/>
  <Override PartName="/xl/externalLinks/externalLink242.xml" ContentType="application/vnd.openxmlformats-officedocument.spreadsheetml.externalLink+xml"/>
  <Override PartName="/xl/externalLinks/externalLink243.xml" ContentType="application/vnd.openxmlformats-officedocument.spreadsheetml.externalLink+xml"/>
  <Override PartName="/xl/externalLinks/externalLink244.xml" ContentType="application/vnd.openxmlformats-officedocument.spreadsheetml.externalLink+xml"/>
  <Override PartName="/xl/externalLinks/externalLink245.xml" ContentType="application/vnd.openxmlformats-officedocument.spreadsheetml.externalLink+xml"/>
  <Override PartName="/xl/externalLinks/externalLink246.xml" ContentType="application/vnd.openxmlformats-officedocument.spreadsheetml.externalLink+xml"/>
  <Override PartName="/xl/externalLinks/externalLink247.xml" ContentType="application/vnd.openxmlformats-officedocument.spreadsheetml.externalLink+xml"/>
  <Override PartName="/xl/externalLinks/externalLink24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FS.CB.03" sheetId="1" r:id="rId1"/>
    <sheet name="Not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  <externalReference r:id="rId211"/>
    <externalReference r:id="rId212"/>
    <externalReference r:id="rId213"/>
    <externalReference r:id="rId214"/>
    <externalReference r:id="rId215"/>
    <externalReference r:id="rId216"/>
    <externalReference r:id="rId217"/>
    <externalReference r:id="rId218"/>
    <externalReference r:id="rId219"/>
    <externalReference r:id="rId220"/>
    <externalReference r:id="rId221"/>
    <externalReference r:id="rId222"/>
    <externalReference r:id="rId223"/>
    <externalReference r:id="rId224"/>
    <externalReference r:id="rId225"/>
    <externalReference r:id="rId226"/>
    <externalReference r:id="rId227"/>
    <externalReference r:id="rId228"/>
    <externalReference r:id="rId229"/>
    <externalReference r:id="rId230"/>
    <externalReference r:id="rId231"/>
    <externalReference r:id="rId232"/>
    <externalReference r:id="rId233"/>
    <externalReference r:id="rId234"/>
    <externalReference r:id="rId235"/>
    <externalReference r:id="rId236"/>
    <externalReference r:id="rId237"/>
    <externalReference r:id="rId238"/>
    <externalReference r:id="rId239"/>
    <externalReference r:id="rId240"/>
    <externalReference r:id="rId241"/>
    <externalReference r:id="rId242"/>
    <externalReference r:id="rId243"/>
    <externalReference r:id="rId244"/>
    <externalReference r:id="rId245"/>
    <externalReference r:id="rId246"/>
    <externalReference r:id="rId247"/>
    <externalReference r:id="rId248"/>
    <externalReference r:id="rId249"/>
    <externalReference r:id="rId250"/>
    <externalReference r:id="rId251"/>
    <externalReference r:id="rId252"/>
  </externalReferences>
  <definedNames>
    <definedName name="_xlnm.Print_Area" localSheetId="0">'FS.CB.03'!$A$1:$FP$1</definedName>
  </definedNames>
  <calcPr fullCalcOnLoad="1"/>
</workbook>
</file>

<file path=xl/sharedStrings.xml><?xml version="1.0" encoding="utf-8"?>
<sst xmlns="http://schemas.openxmlformats.org/spreadsheetml/2006/main" count="78" uniqueCount="66">
  <si>
    <t>Electricity, Gas &amp; Water</t>
  </si>
  <si>
    <t>Distribution</t>
  </si>
  <si>
    <t>Tourism</t>
  </si>
  <si>
    <t>Professional &amp; Other Services</t>
  </si>
  <si>
    <t>Overseas Residents</t>
  </si>
  <si>
    <t>Total</t>
  </si>
  <si>
    <t>Production</t>
  </si>
  <si>
    <t>Marketing</t>
  </si>
  <si>
    <t>Land Acquisition</t>
  </si>
  <si>
    <t>Sugar, Rum &amp; Molasses</t>
  </si>
  <si>
    <t>Food, Drink &amp; Tobacco</t>
  </si>
  <si>
    <t>Paper, Printing &amp; Publishing</t>
  </si>
  <si>
    <t>Textile, Leather and  Footwear</t>
  </si>
  <si>
    <t>Furniture, Fixture and Wood Products</t>
  </si>
  <si>
    <t>Metal Products</t>
  </si>
  <si>
    <t>Cement &amp; Clay Products</t>
  </si>
  <si>
    <t>Chemicals &amp; Chemical Products</t>
  </si>
  <si>
    <t>Other</t>
  </si>
  <si>
    <t>Construction</t>
  </si>
  <si>
    <t>Land Development</t>
  </si>
  <si>
    <t xml:space="preserve">Transportation by Land, Water or Air     </t>
  </si>
  <si>
    <t>Harbour Facilities, Storage &amp; Warehousing</t>
  </si>
  <si>
    <t xml:space="preserve">Communication                            </t>
  </si>
  <si>
    <t>Central Government</t>
  </si>
  <si>
    <t>Local Government</t>
  </si>
  <si>
    <t>Selected Public Entities</t>
  </si>
  <si>
    <t>Other Public Entities</t>
  </si>
  <si>
    <t>Personal (Local Residents)</t>
  </si>
  <si>
    <t>Table 12b</t>
  </si>
  <si>
    <t xml:space="preserve">          </t>
  </si>
  <si>
    <t>GRAND TOTAL</t>
  </si>
  <si>
    <t>Food and Beverage Services (excluding Tourism)</t>
  </si>
  <si>
    <t>MANUFACTURING</t>
  </si>
  <si>
    <t>AGRICULTURE</t>
  </si>
  <si>
    <t>MINING</t>
  </si>
  <si>
    <t>CONSTRUCTION &amp; LAND DEVELOPMENT</t>
  </si>
  <si>
    <t>FINANCIAL INSTITUTIONS</t>
  </si>
  <si>
    <t>TRANSPORT, STORAGE &amp; COMMUNICATION</t>
  </si>
  <si>
    <t>ELECTRICITY, GAS &amp; WATER</t>
  </si>
  <si>
    <t>GOVERNMENT SERVICES</t>
  </si>
  <si>
    <t>DISTRIBUTION</t>
  </si>
  <si>
    <t>FOOD AND BEVERAGE SERVICES (EXCLUDING TOURISM)</t>
  </si>
  <si>
    <t>TOURISM</t>
  </si>
  <si>
    <t>ENTERTAINMENT</t>
  </si>
  <si>
    <t>PROFESSIONAL &amp; OTHER SERVICES</t>
  </si>
  <si>
    <t>OVERSEAS RESIDENTS</t>
  </si>
  <si>
    <t>Date</t>
  </si>
  <si>
    <t>Table Code:</t>
  </si>
  <si>
    <t>Category:</t>
  </si>
  <si>
    <t>Financial Sector</t>
  </si>
  <si>
    <t>Table Name:</t>
  </si>
  <si>
    <t>Data Range:</t>
  </si>
  <si>
    <t>Frequency:</t>
  </si>
  <si>
    <t>Monthly</t>
  </si>
  <si>
    <t>Units:</t>
  </si>
  <si>
    <t>Updated:</t>
  </si>
  <si>
    <t>Last Business Day of the Month Following the Reporting Month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</si>
  <si>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</si>
  <si>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t>FS.CB.03</t>
  </si>
  <si>
    <t>Special Events</t>
  </si>
  <si>
    <t>&gt;&gt; Addition of Jamaica National Bank in February 2017</t>
  </si>
  <si>
    <t>&gt;&gt; Addition of JMMB Bank in August 2017</t>
  </si>
  <si>
    <t>INDIVIDUALS &amp; HOUSEHOLDS 
(Local Residents Non-Business Loans)</t>
  </si>
  <si>
    <t>Commercial Banks' Total Loans and Advances by Sector</t>
  </si>
  <si>
    <t>J$ Millions</t>
  </si>
  <si>
    <t>Apr 1986 - Feb 2024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</si>
</sst>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_(* #,##0_);_(* \(#,##0\);_(* &quot;-&quot;??_);_(@_)"/>
    <numFmt numFmtId="179" formatCode="[$-409]d\-mmm\-yy;@"/>
    <numFmt numFmtId="180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44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u val="single"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0499899983406066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57" applyFont="1">
      <alignment/>
      <protection/>
    </xf>
    <xf numFmtId="0" fontId="21" fillId="0" borderId="0" xfId="0" applyFont="1" applyAlignment="1">
      <alignment horizontal="right"/>
    </xf>
    <xf numFmtId="3" fontId="21" fillId="0" borderId="0" xfId="57" applyNumberFormat="1" applyFont="1">
      <alignment/>
      <protection/>
    </xf>
    <xf numFmtId="178" fontId="21" fillId="0" borderId="0" xfId="42" applyNumberFormat="1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21" fillId="0" borderId="10" xfId="57" applyNumberFormat="1" applyFont="1" applyBorder="1" applyAlignment="1">
      <alignment horizontal="center"/>
      <protection/>
    </xf>
    <xf numFmtId="3" fontId="22" fillId="35" borderId="10" xfId="0" applyNumberFormat="1" applyFont="1" applyFill="1" applyBorder="1" applyAlignment="1">
      <alignment horizontal="center"/>
    </xf>
    <xf numFmtId="3" fontId="21" fillId="0" borderId="0" xfId="57" applyNumberFormat="1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1" fillId="0" borderId="0" xfId="0" applyFont="1" applyAlignment="1">
      <alignment horizontal="center"/>
    </xf>
    <xf numFmtId="178" fontId="2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3" fillId="36" borderId="0" xfId="0" applyFont="1" applyFill="1" applyBorder="1" applyAlignment="1">
      <alignment vertical="center"/>
    </xf>
    <xf numFmtId="0" fontId="43" fillId="36" borderId="0" xfId="0" applyFont="1" applyFill="1" applyBorder="1" applyAlignment="1">
      <alignment horizontal="center" vertical="center"/>
    </xf>
    <xf numFmtId="179" fontId="21" fillId="0" borderId="11" xfId="0" applyNumberFormat="1" applyFont="1" applyFill="1" applyBorder="1" applyAlignment="1">
      <alignment horizontal="center"/>
    </xf>
    <xf numFmtId="0" fontId="24" fillId="35" borderId="0" xfId="0" applyFont="1" applyFill="1" applyAlignment="1">
      <alignment horizontal="left"/>
    </xf>
    <xf numFmtId="0" fontId="25" fillId="37" borderId="0" xfId="0" applyFont="1" applyFill="1" applyAlignment="1">
      <alignment/>
    </xf>
    <xf numFmtId="0" fontId="21" fillId="37" borderId="0" xfId="0" applyFont="1" applyFill="1" applyAlignment="1">
      <alignment/>
    </xf>
    <xf numFmtId="0" fontId="24" fillId="37" borderId="0" xfId="0" applyFont="1" applyFill="1" applyAlignment="1">
      <alignment/>
    </xf>
    <xf numFmtId="0" fontId="24" fillId="37" borderId="0" xfId="0" applyFont="1" applyFill="1" applyAlignment="1">
      <alignment/>
    </xf>
    <xf numFmtId="0" fontId="22" fillId="37" borderId="0" xfId="0" applyFont="1" applyFill="1" applyAlignment="1">
      <alignment/>
    </xf>
    <xf numFmtId="179" fontId="25" fillId="37" borderId="0" xfId="0" applyNumberFormat="1" applyFont="1" applyFill="1" applyAlignment="1">
      <alignment horizontal="left"/>
    </xf>
    <xf numFmtId="0" fontId="25" fillId="37" borderId="0" xfId="0" applyFont="1" applyFill="1" applyAlignment="1">
      <alignment horizontal="center"/>
    </xf>
    <xf numFmtId="0" fontId="22" fillId="37" borderId="0" xfId="0" applyFont="1" applyFill="1" applyAlignment="1">
      <alignment horizontal="center"/>
    </xf>
    <xf numFmtId="0" fontId="25" fillId="37" borderId="0" xfId="0" applyFont="1" applyFill="1" applyAlignment="1">
      <alignment horizontal="left"/>
    </xf>
    <xf numFmtId="0" fontId="24" fillId="37" borderId="0" xfId="0" applyFont="1" applyFill="1" applyAlignment="1">
      <alignment horizontal="center"/>
    </xf>
    <xf numFmtId="0" fontId="30" fillId="38" borderId="0" xfId="0" applyFont="1" applyFill="1" applyAlignment="1">
      <alignment horizontal="left"/>
    </xf>
    <xf numFmtId="0" fontId="44" fillId="38" borderId="0" xfId="53" applyFont="1" applyFill="1" applyAlignment="1" applyProtection="1">
      <alignment horizontal="left"/>
      <protection/>
    </xf>
    <xf numFmtId="0" fontId="30" fillId="38" borderId="0" xfId="0" applyFont="1" applyFill="1" applyAlignment="1">
      <alignment horizontal="center"/>
    </xf>
    <xf numFmtId="0" fontId="43" fillId="38" borderId="0" xfId="0" applyFont="1" applyFill="1" applyAlignment="1">
      <alignment horizontal="center"/>
    </xf>
    <xf numFmtId="0" fontId="43" fillId="38" borderId="0" xfId="0" applyFont="1" applyFill="1" applyAlignment="1">
      <alignment/>
    </xf>
    <xf numFmtId="3" fontId="22" fillId="0" borderId="0" xfId="57" applyNumberFormat="1" applyFont="1" applyAlignment="1">
      <alignment wrapText="1"/>
      <protection/>
    </xf>
    <xf numFmtId="0" fontId="22" fillId="0" borderId="0" xfId="57" applyFont="1" applyAlignment="1">
      <alignment wrapText="1"/>
      <protection/>
    </xf>
    <xf numFmtId="178" fontId="22" fillId="0" borderId="0" xfId="42" applyNumberFormat="1" applyFont="1" applyAlignment="1">
      <alignment wrapText="1"/>
    </xf>
    <xf numFmtId="3" fontId="22" fillId="0" borderId="0" xfId="0" applyNumberFormat="1" applyFont="1" applyAlignment="1">
      <alignment wrapText="1"/>
    </xf>
    <xf numFmtId="0" fontId="41" fillId="0" borderId="0" xfId="0" applyFont="1" applyAlignment="1">
      <alignment wrapText="1"/>
    </xf>
    <xf numFmtId="3" fontId="22" fillId="0" borderId="0" xfId="57" applyNumberFormat="1" applyFont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178" fontId="22" fillId="0" borderId="0" xfId="42" applyNumberFormat="1" applyFont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3" fontId="22" fillId="39" borderId="10" xfId="57" applyNumberFormat="1" applyFont="1" applyFill="1" applyBorder="1" applyAlignment="1">
      <alignment horizontal="center"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3" fillId="38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/>
    </xf>
    <xf numFmtId="0" fontId="43" fillId="4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externalLink" Target="externalLinks/externalLink49.xml" /><Relationship Id="rId54" Type="http://schemas.openxmlformats.org/officeDocument/2006/relationships/externalLink" Target="externalLinks/externalLink50.xml" /><Relationship Id="rId55" Type="http://schemas.openxmlformats.org/officeDocument/2006/relationships/externalLink" Target="externalLinks/externalLink51.xml" /><Relationship Id="rId56" Type="http://schemas.openxmlformats.org/officeDocument/2006/relationships/externalLink" Target="externalLinks/externalLink52.xml" /><Relationship Id="rId57" Type="http://schemas.openxmlformats.org/officeDocument/2006/relationships/externalLink" Target="externalLinks/externalLink53.xml" /><Relationship Id="rId58" Type="http://schemas.openxmlformats.org/officeDocument/2006/relationships/externalLink" Target="externalLinks/externalLink54.xml" /><Relationship Id="rId59" Type="http://schemas.openxmlformats.org/officeDocument/2006/relationships/externalLink" Target="externalLinks/externalLink55.xml" /><Relationship Id="rId60" Type="http://schemas.openxmlformats.org/officeDocument/2006/relationships/externalLink" Target="externalLinks/externalLink56.xml" /><Relationship Id="rId61" Type="http://schemas.openxmlformats.org/officeDocument/2006/relationships/externalLink" Target="externalLinks/externalLink57.xml" /><Relationship Id="rId62" Type="http://schemas.openxmlformats.org/officeDocument/2006/relationships/externalLink" Target="externalLinks/externalLink58.xml" /><Relationship Id="rId63" Type="http://schemas.openxmlformats.org/officeDocument/2006/relationships/externalLink" Target="externalLinks/externalLink59.xml" /><Relationship Id="rId64" Type="http://schemas.openxmlformats.org/officeDocument/2006/relationships/externalLink" Target="externalLinks/externalLink60.xml" /><Relationship Id="rId65" Type="http://schemas.openxmlformats.org/officeDocument/2006/relationships/externalLink" Target="externalLinks/externalLink61.xml" /><Relationship Id="rId66" Type="http://schemas.openxmlformats.org/officeDocument/2006/relationships/externalLink" Target="externalLinks/externalLink62.xml" /><Relationship Id="rId67" Type="http://schemas.openxmlformats.org/officeDocument/2006/relationships/externalLink" Target="externalLinks/externalLink63.xml" /><Relationship Id="rId68" Type="http://schemas.openxmlformats.org/officeDocument/2006/relationships/externalLink" Target="externalLinks/externalLink64.xml" /><Relationship Id="rId69" Type="http://schemas.openxmlformats.org/officeDocument/2006/relationships/externalLink" Target="externalLinks/externalLink65.xml" /><Relationship Id="rId70" Type="http://schemas.openxmlformats.org/officeDocument/2006/relationships/externalLink" Target="externalLinks/externalLink66.xml" /><Relationship Id="rId71" Type="http://schemas.openxmlformats.org/officeDocument/2006/relationships/externalLink" Target="externalLinks/externalLink67.xml" /><Relationship Id="rId72" Type="http://schemas.openxmlformats.org/officeDocument/2006/relationships/externalLink" Target="externalLinks/externalLink68.xml" /><Relationship Id="rId73" Type="http://schemas.openxmlformats.org/officeDocument/2006/relationships/externalLink" Target="externalLinks/externalLink69.xml" /><Relationship Id="rId74" Type="http://schemas.openxmlformats.org/officeDocument/2006/relationships/externalLink" Target="externalLinks/externalLink70.xml" /><Relationship Id="rId75" Type="http://schemas.openxmlformats.org/officeDocument/2006/relationships/externalLink" Target="externalLinks/externalLink71.xml" /><Relationship Id="rId76" Type="http://schemas.openxmlformats.org/officeDocument/2006/relationships/externalLink" Target="externalLinks/externalLink72.xml" /><Relationship Id="rId77" Type="http://schemas.openxmlformats.org/officeDocument/2006/relationships/externalLink" Target="externalLinks/externalLink73.xml" /><Relationship Id="rId78" Type="http://schemas.openxmlformats.org/officeDocument/2006/relationships/externalLink" Target="externalLinks/externalLink74.xml" /><Relationship Id="rId79" Type="http://schemas.openxmlformats.org/officeDocument/2006/relationships/externalLink" Target="externalLinks/externalLink75.xml" /><Relationship Id="rId80" Type="http://schemas.openxmlformats.org/officeDocument/2006/relationships/externalLink" Target="externalLinks/externalLink76.xml" /><Relationship Id="rId81" Type="http://schemas.openxmlformats.org/officeDocument/2006/relationships/externalLink" Target="externalLinks/externalLink77.xml" /><Relationship Id="rId82" Type="http://schemas.openxmlformats.org/officeDocument/2006/relationships/externalLink" Target="externalLinks/externalLink78.xml" /><Relationship Id="rId83" Type="http://schemas.openxmlformats.org/officeDocument/2006/relationships/externalLink" Target="externalLinks/externalLink79.xml" /><Relationship Id="rId84" Type="http://schemas.openxmlformats.org/officeDocument/2006/relationships/externalLink" Target="externalLinks/externalLink80.xml" /><Relationship Id="rId85" Type="http://schemas.openxmlformats.org/officeDocument/2006/relationships/externalLink" Target="externalLinks/externalLink81.xml" /><Relationship Id="rId86" Type="http://schemas.openxmlformats.org/officeDocument/2006/relationships/externalLink" Target="externalLinks/externalLink82.xml" /><Relationship Id="rId87" Type="http://schemas.openxmlformats.org/officeDocument/2006/relationships/externalLink" Target="externalLinks/externalLink83.xml" /><Relationship Id="rId88" Type="http://schemas.openxmlformats.org/officeDocument/2006/relationships/externalLink" Target="externalLinks/externalLink84.xml" /><Relationship Id="rId89" Type="http://schemas.openxmlformats.org/officeDocument/2006/relationships/externalLink" Target="externalLinks/externalLink85.xml" /><Relationship Id="rId90" Type="http://schemas.openxmlformats.org/officeDocument/2006/relationships/externalLink" Target="externalLinks/externalLink86.xml" /><Relationship Id="rId91" Type="http://schemas.openxmlformats.org/officeDocument/2006/relationships/externalLink" Target="externalLinks/externalLink87.xml" /><Relationship Id="rId92" Type="http://schemas.openxmlformats.org/officeDocument/2006/relationships/externalLink" Target="externalLinks/externalLink88.xml" /><Relationship Id="rId93" Type="http://schemas.openxmlformats.org/officeDocument/2006/relationships/externalLink" Target="externalLinks/externalLink89.xml" /><Relationship Id="rId94" Type="http://schemas.openxmlformats.org/officeDocument/2006/relationships/externalLink" Target="externalLinks/externalLink90.xml" /><Relationship Id="rId95" Type="http://schemas.openxmlformats.org/officeDocument/2006/relationships/externalLink" Target="externalLinks/externalLink91.xml" /><Relationship Id="rId96" Type="http://schemas.openxmlformats.org/officeDocument/2006/relationships/externalLink" Target="externalLinks/externalLink92.xml" /><Relationship Id="rId97" Type="http://schemas.openxmlformats.org/officeDocument/2006/relationships/externalLink" Target="externalLinks/externalLink93.xml" /><Relationship Id="rId98" Type="http://schemas.openxmlformats.org/officeDocument/2006/relationships/externalLink" Target="externalLinks/externalLink94.xml" /><Relationship Id="rId99" Type="http://schemas.openxmlformats.org/officeDocument/2006/relationships/externalLink" Target="externalLinks/externalLink95.xml" /><Relationship Id="rId100" Type="http://schemas.openxmlformats.org/officeDocument/2006/relationships/externalLink" Target="externalLinks/externalLink96.xml" /><Relationship Id="rId101" Type="http://schemas.openxmlformats.org/officeDocument/2006/relationships/externalLink" Target="externalLinks/externalLink97.xml" /><Relationship Id="rId102" Type="http://schemas.openxmlformats.org/officeDocument/2006/relationships/externalLink" Target="externalLinks/externalLink98.xml" /><Relationship Id="rId103" Type="http://schemas.openxmlformats.org/officeDocument/2006/relationships/externalLink" Target="externalLinks/externalLink99.xml" /><Relationship Id="rId104" Type="http://schemas.openxmlformats.org/officeDocument/2006/relationships/externalLink" Target="externalLinks/externalLink100.xml" /><Relationship Id="rId105" Type="http://schemas.openxmlformats.org/officeDocument/2006/relationships/externalLink" Target="externalLinks/externalLink101.xml" /><Relationship Id="rId106" Type="http://schemas.openxmlformats.org/officeDocument/2006/relationships/externalLink" Target="externalLinks/externalLink102.xml" /><Relationship Id="rId107" Type="http://schemas.openxmlformats.org/officeDocument/2006/relationships/externalLink" Target="externalLinks/externalLink103.xml" /><Relationship Id="rId108" Type="http://schemas.openxmlformats.org/officeDocument/2006/relationships/externalLink" Target="externalLinks/externalLink104.xml" /><Relationship Id="rId109" Type="http://schemas.openxmlformats.org/officeDocument/2006/relationships/externalLink" Target="externalLinks/externalLink105.xml" /><Relationship Id="rId110" Type="http://schemas.openxmlformats.org/officeDocument/2006/relationships/externalLink" Target="externalLinks/externalLink106.xml" /><Relationship Id="rId111" Type="http://schemas.openxmlformats.org/officeDocument/2006/relationships/externalLink" Target="externalLinks/externalLink107.xml" /><Relationship Id="rId112" Type="http://schemas.openxmlformats.org/officeDocument/2006/relationships/externalLink" Target="externalLinks/externalLink108.xml" /><Relationship Id="rId113" Type="http://schemas.openxmlformats.org/officeDocument/2006/relationships/externalLink" Target="externalLinks/externalLink109.xml" /><Relationship Id="rId114" Type="http://schemas.openxmlformats.org/officeDocument/2006/relationships/externalLink" Target="externalLinks/externalLink110.xml" /><Relationship Id="rId115" Type="http://schemas.openxmlformats.org/officeDocument/2006/relationships/externalLink" Target="externalLinks/externalLink111.xml" /><Relationship Id="rId116" Type="http://schemas.openxmlformats.org/officeDocument/2006/relationships/externalLink" Target="externalLinks/externalLink112.xml" /><Relationship Id="rId117" Type="http://schemas.openxmlformats.org/officeDocument/2006/relationships/externalLink" Target="externalLinks/externalLink113.xml" /><Relationship Id="rId118" Type="http://schemas.openxmlformats.org/officeDocument/2006/relationships/externalLink" Target="externalLinks/externalLink114.xml" /><Relationship Id="rId119" Type="http://schemas.openxmlformats.org/officeDocument/2006/relationships/externalLink" Target="externalLinks/externalLink115.xml" /><Relationship Id="rId120" Type="http://schemas.openxmlformats.org/officeDocument/2006/relationships/externalLink" Target="externalLinks/externalLink116.xml" /><Relationship Id="rId121" Type="http://schemas.openxmlformats.org/officeDocument/2006/relationships/externalLink" Target="externalLinks/externalLink117.xml" /><Relationship Id="rId122" Type="http://schemas.openxmlformats.org/officeDocument/2006/relationships/externalLink" Target="externalLinks/externalLink118.xml" /><Relationship Id="rId123" Type="http://schemas.openxmlformats.org/officeDocument/2006/relationships/externalLink" Target="externalLinks/externalLink119.xml" /><Relationship Id="rId124" Type="http://schemas.openxmlformats.org/officeDocument/2006/relationships/externalLink" Target="externalLinks/externalLink120.xml" /><Relationship Id="rId125" Type="http://schemas.openxmlformats.org/officeDocument/2006/relationships/externalLink" Target="externalLinks/externalLink121.xml" /><Relationship Id="rId126" Type="http://schemas.openxmlformats.org/officeDocument/2006/relationships/externalLink" Target="externalLinks/externalLink122.xml" /><Relationship Id="rId127" Type="http://schemas.openxmlformats.org/officeDocument/2006/relationships/externalLink" Target="externalLinks/externalLink123.xml" /><Relationship Id="rId128" Type="http://schemas.openxmlformats.org/officeDocument/2006/relationships/externalLink" Target="externalLinks/externalLink124.xml" /><Relationship Id="rId129" Type="http://schemas.openxmlformats.org/officeDocument/2006/relationships/externalLink" Target="externalLinks/externalLink125.xml" /><Relationship Id="rId130" Type="http://schemas.openxmlformats.org/officeDocument/2006/relationships/externalLink" Target="externalLinks/externalLink126.xml" /><Relationship Id="rId131" Type="http://schemas.openxmlformats.org/officeDocument/2006/relationships/externalLink" Target="externalLinks/externalLink127.xml" /><Relationship Id="rId132" Type="http://schemas.openxmlformats.org/officeDocument/2006/relationships/externalLink" Target="externalLinks/externalLink128.xml" /><Relationship Id="rId133" Type="http://schemas.openxmlformats.org/officeDocument/2006/relationships/externalLink" Target="externalLinks/externalLink129.xml" /><Relationship Id="rId134" Type="http://schemas.openxmlformats.org/officeDocument/2006/relationships/externalLink" Target="externalLinks/externalLink130.xml" /><Relationship Id="rId135" Type="http://schemas.openxmlformats.org/officeDocument/2006/relationships/externalLink" Target="externalLinks/externalLink131.xml" /><Relationship Id="rId136" Type="http://schemas.openxmlformats.org/officeDocument/2006/relationships/externalLink" Target="externalLinks/externalLink132.xml" /><Relationship Id="rId137" Type="http://schemas.openxmlformats.org/officeDocument/2006/relationships/externalLink" Target="externalLinks/externalLink133.xml" /><Relationship Id="rId138" Type="http://schemas.openxmlformats.org/officeDocument/2006/relationships/externalLink" Target="externalLinks/externalLink134.xml" /><Relationship Id="rId139" Type="http://schemas.openxmlformats.org/officeDocument/2006/relationships/externalLink" Target="externalLinks/externalLink135.xml" /><Relationship Id="rId140" Type="http://schemas.openxmlformats.org/officeDocument/2006/relationships/externalLink" Target="externalLinks/externalLink136.xml" /><Relationship Id="rId141" Type="http://schemas.openxmlformats.org/officeDocument/2006/relationships/externalLink" Target="externalLinks/externalLink137.xml" /><Relationship Id="rId142" Type="http://schemas.openxmlformats.org/officeDocument/2006/relationships/externalLink" Target="externalLinks/externalLink138.xml" /><Relationship Id="rId143" Type="http://schemas.openxmlformats.org/officeDocument/2006/relationships/externalLink" Target="externalLinks/externalLink139.xml" /><Relationship Id="rId144" Type="http://schemas.openxmlformats.org/officeDocument/2006/relationships/externalLink" Target="externalLinks/externalLink140.xml" /><Relationship Id="rId145" Type="http://schemas.openxmlformats.org/officeDocument/2006/relationships/externalLink" Target="externalLinks/externalLink141.xml" /><Relationship Id="rId146" Type="http://schemas.openxmlformats.org/officeDocument/2006/relationships/externalLink" Target="externalLinks/externalLink142.xml" /><Relationship Id="rId147" Type="http://schemas.openxmlformats.org/officeDocument/2006/relationships/externalLink" Target="externalLinks/externalLink143.xml" /><Relationship Id="rId148" Type="http://schemas.openxmlformats.org/officeDocument/2006/relationships/externalLink" Target="externalLinks/externalLink144.xml" /><Relationship Id="rId149" Type="http://schemas.openxmlformats.org/officeDocument/2006/relationships/externalLink" Target="externalLinks/externalLink145.xml" /><Relationship Id="rId150" Type="http://schemas.openxmlformats.org/officeDocument/2006/relationships/externalLink" Target="externalLinks/externalLink146.xml" /><Relationship Id="rId151" Type="http://schemas.openxmlformats.org/officeDocument/2006/relationships/externalLink" Target="externalLinks/externalLink147.xml" /><Relationship Id="rId152" Type="http://schemas.openxmlformats.org/officeDocument/2006/relationships/externalLink" Target="externalLinks/externalLink148.xml" /><Relationship Id="rId153" Type="http://schemas.openxmlformats.org/officeDocument/2006/relationships/externalLink" Target="externalLinks/externalLink149.xml" /><Relationship Id="rId154" Type="http://schemas.openxmlformats.org/officeDocument/2006/relationships/externalLink" Target="externalLinks/externalLink150.xml" /><Relationship Id="rId155" Type="http://schemas.openxmlformats.org/officeDocument/2006/relationships/externalLink" Target="externalLinks/externalLink151.xml" /><Relationship Id="rId156" Type="http://schemas.openxmlformats.org/officeDocument/2006/relationships/externalLink" Target="externalLinks/externalLink152.xml" /><Relationship Id="rId157" Type="http://schemas.openxmlformats.org/officeDocument/2006/relationships/externalLink" Target="externalLinks/externalLink153.xml" /><Relationship Id="rId158" Type="http://schemas.openxmlformats.org/officeDocument/2006/relationships/externalLink" Target="externalLinks/externalLink154.xml" /><Relationship Id="rId159" Type="http://schemas.openxmlformats.org/officeDocument/2006/relationships/externalLink" Target="externalLinks/externalLink155.xml" /><Relationship Id="rId160" Type="http://schemas.openxmlformats.org/officeDocument/2006/relationships/externalLink" Target="externalLinks/externalLink156.xml" /><Relationship Id="rId161" Type="http://schemas.openxmlformats.org/officeDocument/2006/relationships/externalLink" Target="externalLinks/externalLink157.xml" /><Relationship Id="rId162" Type="http://schemas.openxmlformats.org/officeDocument/2006/relationships/externalLink" Target="externalLinks/externalLink158.xml" /><Relationship Id="rId163" Type="http://schemas.openxmlformats.org/officeDocument/2006/relationships/externalLink" Target="externalLinks/externalLink159.xml" /><Relationship Id="rId164" Type="http://schemas.openxmlformats.org/officeDocument/2006/relationships/externalLink" Target="externalLinks/externalLink160.xml" /><Relationship Id="rId165" Type="http://schemas.openxmlformats.org/officeDocument/2006/relationships/externalLink" Target="externalLinks/externalLink161.xml" /><Relationship Id="rId166" Type="http://schemas.openxmlformats.org/officeDocument/2006/relationships/externalLink" Target="externalLinks/externalLink162.xml" /><Relationship Id="rId167" Type="http://schemas.openxmlformats.org/officeDocument/2006/relationships/externalLink" Target="externalLinks/externalLink163.xml" /><Relationship Id="rId168" Type="http://schemas.openxmlformats.org/officeDocument/2006/relationships/externalLink" Target="externalLinks/externalLink164.xml" /><Relationship Id="rId169" Type="http://schemas.openxmlformats.org/officeDocument/2006/relationships/externalLink" Target="externalLinks/externalLink165.xml" /><Relationship Id="rId170" Type="http://schemas.openxmlformats.org/officeDocument/2006/relationships/externalLink" Target="externalLinks/externalLink166.xml" /><Relationship Id="rId171" Type="http://schemas.openxmlformats.org/officeDocument/2006/relationships/externalLink" Target="externalLinks/externalLink167.xml" /><Relationship Id="rId172" Type="http://schemas.openxmlformats.org/officeDocument/2006/relationships/externalLink" Target="externalLinks/externalLink168.xml" /><Relationship Id="rId173" Type="http://schemas.openxmlformats.org/officeDocument/2006/relationships/externalLink" Target="externalLinks/externalLink169.xml" /><Relationship Id="rId174" Type="http://schemas.openxmlformats.org/officeDocument/2006/relationships/externalLink" Target="externalLinks/externalLink170.xml" /><Relationship Id="rId175" Type="http://schemas.openxmlformats.org/officeDocument/2006/relationships/externalLink" Target="externalLinks/externalLink171.xml" /><Relationship Id="rId176" Type="http://schemas.openxmlformats.org/officeDocument/2006/relationships/externalLink" Target="externalLinks/externalLink172.xml" /><Relationship Id="rId177" Type="http://schemas.openxmlformats.org/officeDocument/2006/relationships/externalLink" Target="externalLinks/externalLink173.xml" /><Relationship Id="rId178" Type="http://schemas.openxmlformats.org/officeDocument/2006/relationships/externalLink" Target="externalLinks/externalLink174.xml" /><Relationship Id="rId179" Type="http://schemas.openxmlformats.org/officeDocument/2006/relationships/externalLink" Target="externalLinks/externalLink175.xml" /><Relationship Id="rId180" Type="http://schemas.openxmlformats.org/officeDocument/2006/relationships/externalLink" Target="externalLinks/externalLink176.xml" /><Relationship Id="rId181" Type="http://schemas.openxmlformats.org/officeDocument/2006/relationships/externalLink" Target="externalLinks/externalLink177.xml" /><Relationship Id="rId182" Type="http://schemas.openxmlformats.org/officeDocument/2006/relationships/externalLink" Target="externalLinks/externalLink178.xml" /><Relationship Id="rId183" Type="http://schemas.openxmlformats.org/officeDocument/2006/relationships/externalLink" Target="externalLinks/externalLink179.xml" /><Relationship Id="rId184" Type="http://schemas.openxmlformats.org/officeDocument/2006/relationships/externalLink" Target="externalLinks/externalLink180.xml" /><Relationship Id="rId185" Type="http://schemas.openxmlformats.org/officeDocument/2006/relationships/externalLink" Target="externalLinks/externalLink181.xml" /><Relationship Id="rId186" Type="http://schemas.openxmlformats.org/officeDocument/2006/relationships/externalLink" Target="externalLinks/externalLink182.xml" /><Relationship Id="rId187" Type="http://schemas.openxmlformats.org/officeDocument/2006/relationships/externalLink" Target="externalLinks/externalLink183.xml" /><Relationship Id="rId188" Type="http://schemas.openxmlformats.org/officeDocument/2006/relationships/externalLink" Target="externalLinks/externalLink184.xml" /><Relationship Id="rId189" Type="http://schemas.openxmlformats.org/officeDocument/2006/relationships/externalLink" Target="externalLinks/externalLink185.xml" /><Relationship Id="rId190" Type="http://schemas.openxmlformats.org/officeDocument/2006/relationships/externalLink" Target="externalLinks/externalLink186.xml" /><Relationship Id="rId191" Type="http://schemas.openxmlformats.org/officeDocument/2006/relationships/externalLink" Target="externalLinks/externalLink187.xml" /><Relationship Id="rId192" Type="http://schemas.openxmlformats.org/officeDocument/2006/relationships/externalLink" Target="externalLinks/externalLink188.xml" /><Relationship Id="rId193" Type="http://schemas.openxmlformats.org/officeDocument/2006/relationships/externalLink" Target="externalLinks/externalLink189.xml" /><Relationship Id="rId194" Type="http://schemas.openxmlformats.org/officeDocument/2006/relationships/externalLink" Target="externalLinks/externalLink190.xml" /><Relationship Id="rId195" Type="http://schemas.openxmlformats.org/officeDocument/2006/relationships/externalLink" Target="externalLinks/externalLink191.xml" /><Relationship Id="rId196" Type="http://schemas.openxmlformats.org/officeDocument/2006/relationships/externalLink" Target="externalLinks/externalLink192.xml" /><Relationship Id="rId197" Type="http://schemas.openxmlformats.org/officeDocument/2006/relationships/externalLink" Target="externalLinks/externalLink193.xml" /><Relationship Id="rId198" Type="http://schemas.openxmlformats.org/officeDocument/2006/relationships/externalLink" Target="externalLinks/externalLink194.xml" /><Relationship Id="rId199" Type="http://schemas.openxmlformats.org/officeDocument/2006/relationships/externalLink" Target="externalLinks/externalLink195.xml" /><Relationship Id="rId200" Type="http://schemas.openxmlformats.org/officeDocument/2006/relationships/externalLink" Target="externalLinks/externalLink196.xml" /><Relationship Id="rId201" Type="http://schemas.openxmlformats.org/officeDocument/2006/relationships/externalLink" Target="externalLinks/externalLink197.xml" /><Relationship Id="rId202" Type="http://schemas.openxmlformats.org/officeDocument/2006/relationships/externalLink" Target="externalLinks/externalLink198.xml" /><Relationship Id="rId203" Type="http://schemas.openxmlformats.org/officeDocument/2006/relationships/externalLink" Target="externalLinks/externalLink199.xml" /><Relationship Id="rId204" Type="http://schemas.openxmlformats.org/officeDocument/2006/relationships/externalLink" Target="externalLinks/externalLink200.xml" /><Relationship Id="rId205" Type="http://schemas.openxmlformats.org/officeDocument/2006/relationships/externalLink" Target="externalLinks/externalLink201.xml" /><Relationship Id="rId206" Type="http://schemas.openxmlformats.org/officeDocument/2006/relationships/externalLink" Target="externalLinks/externalLink202.xml" /><Relationship Id="rId207" Type="http://schemas.openxmlformats.org/officeDocument/2006/relationships/externalLink" Target="externalLinks/externalLink203.xml" /><Relationship Id="rId208" Type="http://schemas.openxmlformats.org/officeDocument/2006/relationships/externalLink" Target="externalLinks/externalLink204.xml" /><Relationship Id="rId209" Type="http://schemas.openxmlformats.org/officeDocument/2006/relationships/externalLink" Target="externalLinks/externalLink205.xml" /><Relationship Id="rId210" Type="http://schemas.openxmlformats.org/officeDocument/2006/relationships/externalLink" Target="externalLinks/externalLink206.xml" /><Relationship Id="rId211" Type="http://schemas.openxmlformats.org/officeDocument/2006/relationships/externalLink" Target="externalLinks/externalLink207.xml" /><Relationship Id="rId212" Type="http://schemas.openxmlformats.org/officeDocument/2006/relationships/externalLink" Target="externalLinks/externalLink208.xml" /><Relationship Id="rId213" Type="http://schemas.openxmlformats.org/officeDocument/2006/relationships/externalLink" Target="externalLinks/externalLink209.xml" /><Relationship Id="rId214" Type="http://schemas.openxmlformats.org/officeDocument/2006/relationships/externalLink" Target="externalLinks/externalLink210.xml" /><Relationship Id="rId215" Type="http://schemas.openxmlformats.org/officeDocument/2006/relationships/externalLink" Target="externalLinks/externalLink211.xml" /><Relationship Id="rId216" Type="http://schemas.openxmlformats.org/officeDocument/2006/relationships/externalLink" Target="externalLinks/externalLink212.xml" /><Relationship Id="rId217" Type="http://schemas.openxmlformats.org/officeDocument/2006/relationships/externalLink" Target="externalLinks/externalLink213.xml" /><Relationship Id="rId218" Type="http://schemas.openxmlformats.org/officeDocument/2006/relationships/externalLink" Target="externalLinks/externalLink214.xml" /><Relationship Id="rId219" Type="http://schemas.openxmlformats.org/officeDocument/2006/relationships/externalLink" Target="externalLinks/externalLink215.xml" /><Relationship Id="rId220" Type="http://schemas.openxmlformats.org/officeDocument/2006/relationships/externalLink" Target="externalLinks/externalLink216.xml" /><Relationship Id="rId221" Type="http://schemas.openxmlformats.org/officeDocument/2006/relationships/externalLink" Target="externalLinks/externalLink217.xml" /><Relationship Id="rId222" Type="http://schemas.openxmlformats.org/officeDocument/2006/relationships/externalLink" Target="externalLinks/externalLink218.xml" /><Relationship Id="rId223" Type="http://schemas.openxmlformats.org/officeDocument/2006/relationships/externalLink" Target="externalLinks/externalLink219.xml" /><Relationship Id="rId224" Type="http://schemas.openxmlformats.org/officeDocument/2006/relationships/externalLink" Target="externalLinks/externalLink220.xml" /><Relationship Id="rId225" Type="http://schemas.openxmlformats.org/officeDocument/2006/relationships/externalLink" Target="externalLinks/externalLink221.xml" /><Relationship Id="rId226" Type="http://schemas.openxmlformats.org/officeDocument/2006/relationships/externalLink" Target="externalLinks/externalLink222.xml" /><Relationship Id="rId227" Type="http://schemas.openxmlformats.org/officeDocument/2006/relationships/externalLink" Target="externalLinks/externalLink223.xml" /><Relationship Id="rId228" Type="http://schemas.openxmlformats.org/officeDocument/2006/relationships/externalLink" Target="externalLinks/externalLink224.xml" /><Relationship Id="rId229" Type="http://schemas.openxmlformats.org/officeDocument/2006/relationships/externalLink" Target="externalLinks/externalLink225.xml" /><Relationship Id="rId230" Type="http://schemas.openxmlformats.org/officeDocument/2006/relationships/externalLink" Target="externalLinks/externalLink226.xml" /><Relationship Id="rId231" Type="http://schemas.openxmlformats.org/officeDocument/2006/relationships/externalLink" Target="externalLinks/externalLink227.xml" /><Relationship Id="rId232" Type="http://schemas.openxmlformats.org/officeDocument/2006/relationships/externalLink" Target="externalLinks/externalLink228.xml" /><Relationship Id="rId233" Type="http://schemas.openxmlformats.org/officeDocument/2006/relationships/externalLink" Target="externalLinks/externalLink229.xml" /><Relationship Id="rId234" Type="http://schemas.openxmlformats.org/officeDocument/2006/relationships/externalLink" Target="externalLinks/externalLink230.xml" /><Relationship Id="rId235" Type="http://schemas.openxmlformats.org/officeDocument/2006/relationships/externalLink" Target="externalLinks/externalLink231.xml" /><Relationship Id="rId236" Type="http://schemas.openxmlformats.org/officeDocument/2006/relationships/externalLink" Target="externalLinks/externalLink232.xml" /><Relationship Id="rId237" Type="http://schemas.openxmlformats.org/officeDocument/2006/relationships/externalLink" Target="externalLinks/externalLink233.xml" /><Relationship Id="rId238" Type="http://schemas.openxmlformats.org/officeDocument/2006/relationships/externalLink" Target="externalLinks/externalLink234.xml" /><Relationship Id="rId239" Type="http://schemas.openxmlformats.org/officeDocument/2006/relationships/externalLink" Target="externalLinks/externalLink235.xml" /><Relationship Id="rId240" Type="http://schemas.openxmlformats.org/officeDocument/2006/relationships/externalLink" Target="externalLinks/externalLink236.xml" /><Relationship Id="rId241" Type="http://schemas.openxmlformats.org/officeDocument/2006/relationships/externalLink" Target="externalLinks/externalLink237.xml" /><Relationship Id="rId242" Type="http://schemas.openxmlformats.org/officeDocument/2006/relationships/externalLink" Target="externalLinks/externalLink238.xml" /><Relationship Id="rId243" Type="http://schemas.openxmlformats.org/officeDocument/2006/relationships/externalLink" Target="externalLinks/externalLink239.xml" /><Relationship Id="rId244" Type="http://schemas.openxmlformats.org/officeDocument/2006/relationships/externalLink" Target="externalLinks/externalLink240.xml" /><Relationship Id="rId245" Type="http://schemas.openxmlformats.org/officeDocument/2006/relationships/externalLink" Target="externalLinks/externalLink241.xml" /><Relationship Id="rId246" Type="http://schemas.openxmlformats.org/officeDocument/2006/relationships/externalLink" Target="externalLinks/externalLink242.xml" /><Relationship Id="rId247" Type="http://schemas.openxmlformats.org/officeDocument/2006/relationships/externalLink" Target="externalLinks/externalLink243.xml" /><Relationship Id="rId248" Type="http://schemas.openxmlformats.org/officeDocument/2006/relationships/externalLink" Target="externalLinks/externalLink244.xml" /><Relationship Id="rId249" Type="http://schemas.openxmlformats.org/officeDocument/2006/relationships/externalLink" Target="externalLinks/externalLink245.xml" /><Relationship Id="rId250" Type="http://schemas.openxmlformats.org/officeDocument/2006/relationships/externalLink" Target="externalLinks/externalLink246.xml" /><Relationship Id="rId251" Type="http://schemas.openxmlformats.org/officeDocument/2006/relationships/externalLink" Target="externalLinks/externalLink247.xml" /><Relationship Id="rId252" Type="http://schemas.openxmlformats.org/officeDocument/2006/relationships/externalLink" Target="externalLinks/externalLink248.xml" /><Relationship Id="rId2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19050</xdr:rowOff>
    </xdr:from>
    <xdr:to>
      <xdr:col>6</xdr:col>
      <xdr:colOff>95250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9050"/>
          <a:ext cx="1133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CBM5\Loans%20&amp;%20Advances%20(Series)\Commercial%20Banks\CBM5\2006\Feb06l&amp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0\jul10l&amp;a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Jun18.xlsx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Jul18.xlsx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Aug18.xlsx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Sep18.xlsx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Oct18.xlsx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Nov18.xlsx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Dec18.xlsx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5\nov05l&amp;a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5\dec05l&amp;a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6\Jan06l&amp;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0\aug10l&amp;a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6\Feb06l&amp;a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6\Mar06l&amp;a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6\may06l&amp;a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6\june06l&amp;a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6\july06l&amp;a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6\Sep06l&amp;a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6\oct06l&amp;a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6\nov06l&amp;a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6\dec06l&amp;a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7\jan07l&amp;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0\sep10l&amp;a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7\feb07l&amp;a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7\mar07l&amp;a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7\May07l&amp;a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Loans%20&amp;%20Advances%20(Series)\Commercial%20Banks\CBM5\2007\jun07l&amp;a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7\jul07l&amp;a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7\aug07l&amp;a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7\Sep07l&amp;a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7\Oct07l&amp;a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7\Nov07l&amp;a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7\Dec07l&amp;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0\oct10l&amp;a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8\Jan08l&amp;a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8\Feb08l&amp;a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8\Mar08l&amp;a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8\APR08l&amp;a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8\May08l&amp;a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8\Jun08l&amp;a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8\Jul08l&amp;a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8\Aug08l&amp;a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8\Sep08l&amp;a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8\Oct08l&amp;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0\nov10l&amp;a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8\Nov08l&amp;a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8\Dec08l&amp;a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9\Jan09l&amp;a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9\feb09l&amp;a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9\mar09l&amp;a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9\may09l&amp;a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9\jun09l&amp;a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9\Jul09l&amp;a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9\sep09l&amp;a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9\oct09l&amp;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0\Dec10l&amp;a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9\nov09l&amp;a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09\Dec09l&amp;a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Feb19.xlsx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Mar19.xlsx" TargetMode="External" /></Relationships>
</file>

<file path=xl/externalLinks/_rels/externalLink1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Apr19.xlsx" TargetMode="External" /></Relationships>
</file>

<file path=xl/externalLinks/_rels/externalLink1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May19.xlsx" TargetMode="External" /></Relationships>
</file>

<file path=xl/externalLinks/_rels/externalLink1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Jun19.xlsx" TargetMode="External" /></Relationships>
</file>

<file path=xl/externalLinks/_rels/externalLink1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Jul19.xlsx" TargetMode="External" /></Relationships>
</file>

<file path=xl/externalLinks/_rels/externalLink1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Aug19.xlsx" TargetMode="External" /></Relationships>
</file>

<file path=xl/externalLinks/_rels/externalLink1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Sep19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1\Jan11l&amp;a.XLS" TargetMode="External" /></Relationships>
</file>

<file path=xl/externalLinks/_rels/externalLink1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Oct19.xlsx" TargetMode="External" /></Relationships>
</file>

<file path=xl/externalLinks/_rels/externalLink1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Nov19.xlsx" TargetMode="External" /></Relationships>
</file>

<file path=xl/externalLinks/_rels/externalLink1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Dec19.xlsx" TargetMode="External" /></Relationships>
</file>

<file path=xl/externalLinks/_rels/externalLink1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0\CB_M13_Jan20.xlsx" TargetMode="External" /></Relationships>
</file>

<file path=xl/externalLinks/_rels/externalLink1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5\Oct05l&amp;a.XLS" TargetMode="External" /></Relationships>
</file>

<file path=xl/externalLinks/_rels/externalLink1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6\Apr06l&amp;a.XLS" TargetMode="External" /></Relationships>
</file>

<file path=xl/externalLinks/_rels/externalLink1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6\May06l&amp;a.XLS" TargetMode="External" /></Relationships>
</file>

<file path=xl/externalLinks/_rels/externalLink1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6\Jun06l&amp;a.XLS" TargetMode="External" /></Relationships>
</file>

<file path=xl/externalLinks/_rels/externalLink1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6\July06l&amp;a.XLS" TargetMode="External" /></Relationships>
</file>

<file path=xl/externalLinks/_rels/externalLink1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6\Aug06l&amp;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1\feb11l&amp;a.XLS" TargetMode="External" /></Relationships>
</file>

<file path=xl/externalLinks/_rels/externalLink1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6\Sep06l&amp;a.XLS" TargetMode="External" /></Relationships>
</file>

<file path=xl/externalLinks/_rels/externalLink1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6\Oct06l&amp;a.XLS" TargetMode="External" /></Relationships>
</file>

<file path=xl/externalLinks/_rels/externalLink1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6\Nov06l&amp;a.XLS" TargetMode="External" /></Relationships>
</file>

<file path=xl/externalLinks/_rels/externalLink1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6\Dec06l&amp;a.XLS" TargetMode="External" /></Relationships>
</file>

<file path=xl/externalLinks/_rels/externalLink1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7\Jan07l&amp;a.XLS" TargetMode="External" /></Relationships>
</file>

<file path=xl/externalLinks/_rels/externalLink1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7\Feb07l&amp;a.XLS" TargetMode="External" /></Relationships>
</file>

<file path=xl/externalLinks/_rels/externalLink1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7\Mar07l&amp;a.XLS" TargetMode="External" /></Relationships>
</file>

<file path=xl/externalLinks/_rels/externalLink1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7\Apr07l&amp;a.XLS" TargetMode="External" /></Relationships>
</file>

<file path=xl/externalLinks/_rels/externalLink1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7\May07l&amp;a.XLS" TargetMode="External" /></Relationships>
</file>

<file path=xl/externalLinks/_rels/externalLink1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7\Jun07l&amp;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1\mar11l&amp;a.XLS" TargetMode="External" /></Relationships>
</file>

<file path=xl/externalLinks/_rels/externalLink1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7\Jul07l&amp;a.XLS" TargetMode="External" /></Relationships>
</file>

<file path=xl/externalLinks/_rels/externalLink1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7\Aug07l&amp;a.XLS" TargetMode="External" /></Relationships>
</file>

<file path=xl/externalLinks/_rels/externalLink1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7\Sep07l&amp;a.XLS" TargetMode="External" /></Relationships>
</file>

<file path=xl/externalLinks/_rels/externalLink1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7\Oct07l&amp;a.XLS" TargetMode="External" /></Relationships>
</file>

<file path=xl/externalLinks/_rels/externalLink1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7\Nov07l&amp;a.XLS" TargetMode="External" /></Relationships>
</file>

<file path=xl/externalLinks/_rels/externalLink1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7\Dec07l&amp;a.XLS" TargetMode="External" /></Relationships>
</file>

<file path=xl/externalLinks/_rels/externalLink1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8\Jan08l&amp;a.XLS" TargetMode="External" /></Relationships>
</file>

<file path=xl/externalLinks/_rels/externalLink1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8\Feb08l&amp;a.XLS" TargetMode="External" /></Relationships>
</file>

<file path=xl/externalLinks/_rels/externalLink1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8\Mar08l&amp;a.XLS" TargetMode="External" /></Relationships>
</file>

<file path=xl/externalLinks/_rels/externalLink1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8\Apr08l&amp;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1\Aug11l&amp;a.xls" TargetMode="External" /></Relationships>
</file>

<file path=xl/externalLinks/_rels/externalLink1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8\May08l&amp;a.XLS" TargetMode="External" /></Relationships>
</file>

<file path=xl/externalLinks/_rels/externalLink1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8\Jun08l&amp;a.XLS" TargetMode="External" /></Relationships>
</file>

<file path=xl/externalLinks/_rels/externalLink1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8\Jul08l&amp;a.XLS" TargetMode="External" /></Relationships>
</file>

<file path=xl/externalLinks/_rels/externalLink1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8\Aug08l&amp;a.XLS" TargetMode="External" /></Relationships>
</file>

<file path=xl/externalLinks/_rels/externalLink1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8\Sep08l&amp;a.XLS" TargetMode="External" /></Relationships>
</file>

<file path=xl/externalLinks/_rels/externalLink1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8\Oct08l&amp;a.XLS" TargetMode="External" /></Relationships>
</file>

<file path=xl/externalLinks/_rels/externalLink1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8\Nov08l&amp;a.XLS" TargetMode="External" /></Relationships>
</file>

<file path=xl/externalLinks/_rels/externalLink1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8\Dec08l&amp;a.XLS" TargetMode="External" /></Relationships>
</file>

<file path=xl/externalLinks/_rels/externalLink1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9\Apr09l&amp;a.XLS" TargetMode="External" /></Relationships>
</file>

<file path=xl/externalLinks/_rels/externalLink1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9\May09l&amp;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ommercial%20Banks\CBM5\Loans%20&amp;%20Advances%20(Series)\Commercial%20Banks\CBM5\2006\Mar06l&amp;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1\sep11l&amp;a.XLS" TargetMode="External" /></Relationships>
</file>

<file path=xl/externalLinks/_rels/externalLink20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9\Nov09l&amp;a.XLS" TargetMode="External" /></Relationships>
</file>

<file path=xl/externalLinks/_rels/externalLink20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9\Dec09l&amp;a.XLS" TargetMode="External" /></Relationships>
</file>

<file path=xl/externalLinks/_rels/externalLink2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6\Jan06l&amp;a.XLS" TargetMode="External" /></Relationships>
</file>

<file path=xl/externalLinks/_rels/externalLink2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5\Dec05l&amp;a.XLS" TargetMode="External" /></Relationships>
</file>

<file path=xl/externalLinks/_rels/externalLink2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9\Aug09l&amp;a.XLS" TargetMode="External" /></Relationships>
</file>

<file path=xl/externalLinks/_rels/externalLink2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9\Sep09l&amp;a.XLS" TargetMode="External" /></Relationships>
</file>

<file path=xl/externalLinks/_rels/externalLink2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9\Jun09l&amp;a.XLS" TargetMode="External" /></Relationships>
</file>

<file path=xl/externalLinks/_rels/externalLink2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11\Apr11l&amp;a.xls" TargetMode="External" /></Relationships>
</file>

<file path=xl/externalLinks/_rels/externalLink2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11\May11l&amp;a.xls" TargetMode="External" /></Relationships>
</file>

<file path=xl/externalLinks/_rels/externalLink20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11\Jun11l&amp;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1\oct11l&amp;a.XLS" TargetMode="External" /></Relationships>
</file>

<file path=xl/externalLinks/_rels/externalLink2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11\Jul11l&amp;a.xls" TargetMode="External" /></Relationships>
</file>

<file path=xl/externalLinks/_rels/externalLink2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12\Aug12l&amp;a.xls" TargetMode="External" /></Relationships>
</file>

<file path=xl/externalLinks/_rels/externalLink2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9\Jul09l&amp;a.XLS" TargetMode="External" /></Relationships>
</file>

<file path=xl/externalLinks/_rels/externalLink2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SU%20files\Commercial%20Banks\CBM5\2005\Nov05l&amp;a.XLS" TargetMode="External" /></Relationships>
</file>

<file path=xl/externalLinks/_rels/externalLink2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Apr21.xlsx" TargetMode="External" /></Relationships>
</file>

<file path=xl/externalLinks/_rels/externalLink2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May21.xlsx" TargetMode="External" /></Relationships>
</file>

<file path=xl/externalLinks/_rels/externalLink2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Jun21.xlsx" TargetMode="External" /></Relationships>
</file>

<file path=xl/externalLinks/_rels/externalLink2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Jul21.xlsx" TargetMode="External" /></Relationships>
</file>

<file path=xl/externalLinks/_rels/externalLink2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Aug21.xlsx" TargetMode="External" /></Relationships>
</file>

<file path=xl/externalLinks/_rels/externalLink2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Sep21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1\nov11l&amp;a.XLS" TargetMode="External" /></Relationships>
</file>

<file path=xl/externalLinks/_rels/externalLink2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Oct21.xlsx" TargetMode="External" /></Relationships>
</file>

<file path=xl/externalLinks/_rels/externalLink2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Nov21.xlsx" TargetMode="External" /></Relationships>
</file>

<file path=xl/externalLinks/_rels/externalLink2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1\CB_M13_Dec21.xlsx" TargetMode="External" /></Relationships>
</file>

<file path=xl/externalLinks/_rels/externalLink2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Jan22.xlsx" TargetMode="External" /></Relationships>
</file>

<file path=xl/externalLinks/_rels/externalLink2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Feb22.xlsx" TargetMode="External" /></Relationships>
</file>

<file path=xl/externalLinks/_rels/externalLink2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Mar22.xlsx" TargetMode="External" /></Relationships>
</file>

<file path=xl/externalLinks/_rels/externalLink2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Apr22.xlsx" TargetMode="External" /></Relationships>
</file>

<file path=xl/externalLinks/_rels/externalLink2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May22.xlsx" TargetMode="External" /></Relationships>
</file>

<file path=xl/externalLinks/_rels/externalLink2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Jun22.xlsx" TargetMode="External" /></Relationships>
</file>

<file path=xl/externalLinks/_rels/externalLink2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Jul22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1\Dec11l&amp;a.xls" TargetMode="External" /></Relationships>
</file>

<file path=xl/externalLinks/_rels/externalLink2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Aug22.xlsx" TargetMode="External" /></Relationships>
</file>

<file path=xl/externalLinks/_rels/externalLink2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Sep22.xlsx" TargetMode="External" /></Relationships>
</file>

<file path=xl/externalLinks/_rels/externalLink2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Oct22.xlsx" TargetMode="External" /></Relationships>
</file>

<file path=xl/externalLinks/_rels/externalLink2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Nov22.xlsx" TargetMode="External" /></Relationships>
</file>

<file path=xl/externalLinks/_rels/externalLink2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2\CB_M13_Dec22.xlsx" TargetMode="External" /></Relationships>
</file>

<file path=xl/externalLinks/_rels/externalLink2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Jan23.xlsx" TargetMode="External" /></Relationships>
</file>

<file path=xl/externalLinks/_rels/externalLink2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Feb23.xlsx" TargetMode="External" /></Relationships>
</file>

<file path=xl/externalLinks/_rels/externalLink2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Mar23.xlsx" TargetMode="External" /></Relationships>
</file>

<file path=xl/externalLinks/_rels/externalLink2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Apr23.xlsx" TargetMode="External" /></Relationships>
</file>

<file path=xl/externalLinks/_rels/externalLink2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May23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2\jan12l&amp;a.xls" TargetMode="External" /></Relationships>
</file>

<file path=xl/externalLinks/_rels/externalLink2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Jun23.xlsx" TargetMode="External" /></Relationships>
</file>

<file path=xl/externalLinks/_rels/externalLink2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Jul23.xlsx" TargetMode="External" /></Relationships>
</file>

<file path=xl/externalLinks/_rels/externalLink2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Aug23.xlsx" TargetMode="External" /></Relationships>
</file>

<file path=xl/externalLinks/_rels/externalLink2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Sep23.xlsx" TargetMode="External" /></Relationships>
</file>

<file path=xl/externalLinks/_rels/externalLink2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Oct23.xlsx" TargetMode="External" /></Relationships>
</file>

<file path=xl/externalLinks/_rels/externalLink2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Nov23.xlsx" TargetMode="External" /></Relationships>
</file>

<file path=xl/externalLinks/_rels/externalLink2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3\CB_M13_Dec23.xlsx" TargetMode="External" /></Relationships>
</file>

<file path=xl/externalLinks/_rels/externalLink2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4\CB_M13_Jan24.xlsx" TargetMode="External" /></Relationships>
</file>

<file path=xl/externalLinks/_rels/externalLink2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24\CB_M13_Feb24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2\feb12l&amp;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2\mar12l&amp;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2\Apr12l&amp;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2\may12l&amp;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2\Jun12l&amp;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9\CB_M13_Jan19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2\jul12l&amp;a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2\sep12l&amp;a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2\oct12l&amp;a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2\nov12l&amp;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2\dec12l&amp;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3\jan13l&amp;a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3\feb13l&amp;a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3\mar13l&amp;a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3\apr13l&amp;a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3\may13l&amp;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0\Jan10l&amp;a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3\Jun13l&amp;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3\jul13l&amp;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3\aug13l&amp;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3\sep13l&amp;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3\oct13l&amp;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3\nov13l&amp;a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3\dec13l&amp;a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4\Jan14l&amp;a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4\feb14l&amp;a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4\Mar14l&amp;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0\feb10l&amp;a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4\apr14l&amp;a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4\may14l&amp;a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4\jun14l&amp;a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4\jul14l&amp;a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4\aug14l&amp;a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4\sep14l&amp;a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4\oct14l&amp;a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4\nov14l&amp;a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4\Dec14l&amp;a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5\Jan15l&amp;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0\mar10l&amp;a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5\Feb15l&amp;a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5\Mar15l&amp;a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5\apr15l&amp;a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5\may15l&amp;a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5\jun15l&amp;a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5\jul15l&amp;a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5\aug15l&amp;a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5\Sep15l&amp;a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5\Oct15l&amp;a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5\nov15l&amp;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0\Apr10l&amp;a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5\Dec15l&amp;a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6\JAN16l&amp;a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6\Feb16l&amp;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6\Mar16l&amp;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6\Apr16l&amp;a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6\May16l&amp;a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6\Jun16l&amp;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6\Jul16l&amp;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6\aug16l&amp;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6\sep16l&amp;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0\May10l&amp;a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6\OCT16l&amp;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6\NOV16l&amp;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6\DEC16l&amp;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7\JAN17l&amp;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7\Feb17l&amp;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Mar17.xlsx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Apr17.xlsx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May17.xlsx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Jun17.xlsx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Jul17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CBM5\2010\jun10l&amp;a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Aug17.xlsx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Sep17.xlsx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Oct17.xlsx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Nov17.xlsx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7\CB_M13_Dec17.xlsx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Jan18.xlsx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Feb18.xlsx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Mar18.xlsx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Apr18.xlsx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Commercial%20Banks\JAMFIRMS\CB_M13\2018\CB_M13_May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06l&amp;a"/>
    </sheetNames>
    <sheetDataSet>
      <sheetData sheetId="0">
        <row r="19">
          <cell r="H19">
            <v>113360</v>
          </cell>
        </row>
        <row r="23">
          <cell r="H23">
            <v>236079</v>
          </cell>
        </row>
        <row r="25">
          <cell r="I25">
            <v>252832</v>
          </cell>
        </row>
        <row r="30">
          <cell r="H30">
            <v>304236</v>
          </cell>
        </row>
        <row r="31">
          <cell r="H31">
            <v>1898813</v>
          </cell>
        </row>
        <row r="32">
          <cell r="H32">
            <v>9</v>
          </cell>
        </row>
        <row r="33">
          <cell r="H33">
            <v>246075</v>
          </cell>
        </row>
        <row r="34">
          <cell r="H34">
            <v>171267</v>
          </cell>
        </row>
        <row r="35">
          <cell r="H35">
            <v>76783</v>
          </cell>
        </row>
        <row r="36">
          <cell r="H36">
            <v>183206</v>
          </cell>
        </row>
        <row r="37">
          <cell r="H37">
            <v>524569</v>
          </cell>
        </row>
        <row r="38">
          <cell r="H38">
            <v>116870</v>
          </cell>
        </row>
        <row r="39">
          <cell r="H39">
            <v>1447969</v>
          </cell>
        </row>
        <row r="42">
          <cell r="H42">
            <v>5392627</v>
          </cell>
        </row>
        <row r="43">
          <cell r="H43">
            <v>121350</v>
          </cell>
        </row>
        <row r="44">
          <cell r="H44">
            <v>242913</v>
          </cell>
        </row>
        <row r="46">
          <cell r="I46">
            <v>618979</v>
          </cell>
        </row>
        <row r="49">
          <cell r="H49">
            <v>1470382</v>
          </cell>
        </row>
        <row r="50">
          <cell r="H50">
            <v>39543</v>
          </cell>
        </row>
        <row r="51">
          <cell r="H51">
            <v>3695612</v>
          </cell>
        </row>
        <row r="53">
          <cell r="I53">
            <v>793899</v>
          </cell>
        </row>
        <row r="56">
          <cell r="H56">
            <v>7651952</v>
          </cell>
        </row>
        <row r="57">
          <cell r="H57">
            <v>1217</v>
          </cell>
        </row>
        <row r="58">
          <cell r="H58">
            <v>10564618</v>
          </cell>
        </row>
        <row r="59">
          <cell r="H59">
            <v>11958840</v>
          </cell>
        </row>
        <row r="61">
          <cell r="I61">
            <v>8956503</v>
          </cell>
        </row>
        <row r="63">
          <cell r="I63">
            <v>21367957</v>
          </cell>
        </row>
        <row r="65">
          <cell r="I65">
            <v>282342</v>
          </cell>
        </row>
        <row r="67">
          <cell r="I67">
            <v>7388758</v>
          </cell>
        </row>
        <row r="73">
          <cell r="I73">
            <v>42917012</v>
          </cell>
        </row>
        <row r="77">
          <cell r="I77">
            <v>17274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l10loa"/>
    </sheetNames>
    <sheetDataSet>
      <sheetData sheetId="0">
        <row r="10">
          <cell r="I10">
            <v>4488995</v>
          </cell>
        </row>
        <row r="19">
          <cell r="I19">
            <v>158323</v>
          </cell>
        </row>
        <row r="23">
          <cell r="I23">
            <v>398</v>
          </cell>
        </row>
        <row r="25">
          <cell r="J25">
            <v>468247</v>
          </cell>
        </row>
        <row r="30">
          <cell r="I30">
            <v>126239</v>
          </cell>
        </row>
        <row r="31">
          <cell r="I31">
            <v>2640646</v>
          </cell>
        </row>
        <row r="32">
          <cell r="I32">
            <v>0</v>
          </cell>
        </row>
        <row r="33">
          <cell r="I33">
            <v>115491</v>
          </cell>
        </row>
        <row r="34">
          <cell r="I34">
            <v>136027</v>
          </cell>
        </row>
        <row r="35">
          <cell r="I35">
            <v>602873</v>
          </cell>
        </row>
        <row r="36">
          <cell r="I36">
            <v>363499</v>
          </cell>
        </row>
        <row r="37">
          <cell r="I37">
            <v>1136904</v>
          </cell>
        </row>
        <row r="38">
          <cell r="I38">
            <v>746958</v>
          </cell>
        </row>
        <row r="39">
          <cell r="I39">
            <v>2747742</v>
          </cell>
        </row>
        <row r="42">
          <cell r="I42">
            <v>19299251</v>
          </cell>
        </row>
        <row r="43">
          <cell r="I43">
            <v>536830</v>
          </cell>
        </row>
        <row r="44">
          <cell r="I44">
            <v>239573</v>
          </cell>
        </row>
        <row r="46">
          <cell r="J46">
            <v>841741</v>
          </cell>
        </row>
        <row r="49">
          <cell r="I49">
            <v>4794265</v>
          </cell>
        </row>
        <row r="50">
          <cell r="I50">
            <v>312805</v>
          </cell>
        </row>
        <row r="51">
          <cell r="I51">
            <v>4321202</v>
          </cell>
        </row>
        <row r="53">
          <cell r="J53">
            <v>5978922</v>
          </cell>
        </row>
        <row r="56">
          <cell r="I56">
            <v>11623152</v>
          </cell>
        </row>
        <row r="57">
          <cell r="I57">
            <v>180</v>
          </cell>
        </row>
        <row r="58">
          <cell r="I58">
            <v>15293748</v>
          </cell>
        </row>
        <row r="59">
          <cell r="I59">
            <v>4222803</v>
          </cell>
        </row>
        <row r="61">
          <cell r="J61">
            <v>29594143</v>
          </cell>
        </row>
        <row r="63">
          <cell r="J63">
            <v>31843065</v>
          </cell>
        </row>
        <row r="65">
          <cell r="J65">
            <v>387206</v>
          </cell>
        </row>
        <row r="67">
          <cell r="J67">
            <v>17496407</v>
          </cell>
        </row>
        <row r="73">
          <cell r="J73">
            <v>84190454</v>
          </cell>
        </row>
        <row r="77">
          <cell r="J77">
            <v>6500249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2743901</v>
          </cell>
        </row>
        <row r="5">
          <cell r="L5">
            <v>13</v>
          </cell>
        </row>
        <row r="6">
          <cell r="L6">
            <v>612100</v>
          </cell>
        </row>
        <row r="7">
          <cell r="L7">
            <v>20170458</v>
          </cell>
        </row>
        <row r="8">
          <cell r="L8">
            <v>8429719</v>
          </cell>
        </row>
        <row r="9">
          <cell r="L9">
            <v>2042708</v>
          </cell>
        </row>
        <row r="10">
          <cell r="L10">
            <v>117837</v>
          </cell>
        </row>
        <row r="11">
          <cell r="L11">
            <v>1890884</v>
          </cell>
        </row>
        <row r="12">
          <cell r="L12">
            <v>0</v>
          </cell>
        </row>
        <row r="13">
          <cell r="L13">
            <v>324706</v>
          </cell>
        </row>
        <row r="14">
          <cell r="L14">
            <v>53663</v>
          </cell>
        </row>
        <row r="15">
          <cell r="L15">
            <v>6556467</v>
          </cell>
        </row>
        <row r="16">
          <cell r="L16">
            <v>1226004</v>
          </cell>
        </row>
        <row r="17">
          <cell r="L17">
            <v>448601</v>
          </cell>
        </row>
        <row r="18">
          <cell r="L18">
            <v>317043</v>
          </cell>
        </row>
        <row r="19">
          <cell r="L19">
            <v>984286</v>
          </cell>
        </row>
        <row r="20">
          <cell r="L20">
            <v>1656843</v>
          </cell>
        </row>
        <row r="21">
          <cell r="L21">
            <v>10491158</v>
          </cell>
        </row>
        <row r="22">
          <cell r="L22">
            <v>464832</v>
          </cell>
        </row>
        <row r="23">
          <cell r="L23">
            <v>218057</v>
          </cell>
        </row>
        <row r="24">
          <cell r="L24">
            <v>839160</v>
          </cell>
        </row>
        <row r="25">
          <cell r="L25">
            <v>4897</v>
          </cell>
        </row>
        <row r="26">
          <cell r="L26">
            <v>397680</v>
          </cell>
        </row>
        <row r="27">
          <cell r="L27">
            <v>11641536</v>
          </cell>
        </row>
        <row r="28">
          <cell r="L28">
            <v>347510</v>
          </cell>
        </row>
        <row r="29">
          <cell r="L29">
            <v>999</v>
          </cell>
        </row>
        <row r="30">
          <cell r="L30">
            <v>923298</v>
          </cell>
        </row>
        <row r="31">
          <cell r="L31">
            <v>1762792</v>
          </cell>
        </row>
        <row r="32">
          <cell r="L32">
            <v>27713930</v>
          </cell>
        </row>
        <row r="33">
          <cell r="L33">
            <v>1876350</v>
          </cell>
        </row>
        <row r="34">
          <cell r="L34">
            <v>2263402</v>
          </cell>
        </row>
        <row r="35">
          <cell r="L35">
            <v>353221</v>
          </cell>
        </row>
        <row r="36">
          <cell r="L36">
            <v>9216902</v>
          </cell>
        </row>
        <row r="37">
          <cell r="L37">
            <v>28630510</v>
          </cell>
        </row>
        <row r="38">
          <cell r="L38">
            <v>60907140</v>
          </cell>
        </row>
        <row r="39">
          <cell r="L39">
            <v>2576699</v>
          </cell>
        </row>
        <row r="40">
          <cell r="L40">
            <v>365406</v>
          </cell>
        </row>
        <row r="41">
          <cell r="L41">
            <v>17973711</v>
          </cell>
        </row>
        <row r="42">
          <cell r="L42">
            <v>9857771</v>
          </cell>
        </row>
        <row r="43">
          <cell r="L43">
            <v>12584279</v>
          </cell>
        </row>
        <row r="44">
          <cell r="L44">
            <v>325684800</v>
          </cell>
        </row>
        <row r="45">
          <cell r="L45">
            <v>10192</v>
          </cell>
        </row>
        <row r="46">
          <cell r="L46">
            <v>55085783</v>
          </cell>
        </row>
      </sheetData>
      <sheetData sheetId="6">
        <row r="23">
          <cell r="C23">
            <v>36883464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2911684</v>
          </cell>
        </row>
        <row r="5">
          <cell r="L5">
            <v>19</v>
          </cell>
        </row>
        <row r="6">
          <cell r="L6">
            <v>643465</v>
          </cell>
        </row>
        <row r="7">
          <cell r="L7">
            <v>19465338</v>
          </cell>
        </row>
        <row r="8">
          <cell r="L8">
            <v>7161358</v>
          </cell>
        </row>
        <row r="9">
          <cell r="L9">
            <v>2042454</v>
          </cell>
        </row>
        <row r="10">
          <cell r="L10">
            <v>106345</v>
          </cell>
        </row>
        <row r="11">
          <cell r="L11">
            <v>1915517</v>
          </cell>
        </row>
        <row r="12">
          <cell r="L12">
            <v>0</v>
          </cell>
        </row>
        <row r="13">
          <cell r="L13">
            <v>344182</v>
          </cell>
        </row>
        <row r="14">
          <cell r="L14">
            <v>45590</v>
          </cell>
        </row>
        <row r="15">
          <cell r="L15">
            <v>6375190</v>
          </cell>
        </row>
        <row r="16">
          <cell r="L16">
            <v>1204886</v>
          </cell>
        </row>
        <row r="17">
          <cell r="L17">
            <v>470313</v>
          </cell>
        </row>
        <row r="18">
          <cell r="L18">
            <v>325255</v>
          </cell>
        </row>
        <row r="19">
          <cell r="L19">
            <v>1055169</v>
          </cell>
        </row>
        <row r="20">
          <cell r="L20">
            <v>1619648</v>
          </cell>
        </row>
        <row r="21">
          <cell r="L21">
            <v>10515515</v>
          </cell>
        </row>
        <row r="22">
          <cell r="L22">
            <v>455165</v>
          </cell>
        </row>
        <row r="23">
          <cell r="L23">
            <v>3928926</v>
          </cell>
        </row>
        <row r="24">
          <cell r="L24">
            <v>836564</v>
          </cell>
        </row>
        <row r="25">
          <cell r="L25">
            <v>2285</v>
          </cell>
        </row>
        <row r="26">
          <cell r="L26">
            <v>423729</v>
          </cell>
        </row>
        <row r="27">
          <cell r="L27">
            <v>8356011</v>
          </cell>
        </row>
        <row r="28">
          <cell r="L28">
            <v>346694</v>
          </cell>
        </row>
        <row r="29">
          <cell r="L29">
            <v>822</v>
          </cell>
        </row>
        <row r="30">
          <cell r="L30">
            <v>1048251</v>
          </cell>
        </row>
        <row r="31">
          <cell r="L31">
            <v>1727640</v>
          </cell>
        </row>
        <row r="32">
          <cell r="L32">
            <v>28879755</v>
          </cell>
        </row>
        <row r="33">
          <cell r="L33">
            <v>1876715</v>
          </cell>
        </row>
        <row r="34">
          <cell r="L34">
            <v>2235478</v>
          </cell>
        </row>
        <row r="35">
          <cell r="L35">
            <v>383527</v>
          </cell>
        </row>
        <row r="36">
          <cell r="L36">
            <v>10562414</v>
          </cell>
        </row>
        <row r="37">
          <cell r="L37">
            <v>30472416</v>
          </cell>
        </row>
        <row r="38">
          <cell r="L38">
            <v>60850559</v>
          </cell>
        </row>
        <row r="39">
          <cell r="L39">
            <v>2577579</v>
          </cell>
        </row>
        <row r="40">
          <cell r="L40">
            <v>386379</v>
          </cell>
        </row>
        <row r="41">
          <cell r="L41">
            <v>17689697</v>
          </cell>
        </row>
        <row r="42">
          <cell r="L42">
            <v>9296750</v>
          </cell>
        </row>
        <row r="43">
          <cell r="L43">
            <v>13351738</v>
          </cell>
        </row>
        <row r="44">
          <cell r="L44">
            <v>329291495</v>
          </cell>
        </row>
        <row r="45">
          <cell r="L45">
            <v>12996</v>
          </cell>
        </row>
        <row r="46">
          <cell r="L46">
            <v>57015930</v>
          </cell>
        </row>
      </sheetData>
      <sheetData sheetId="6">
        <row r="23">
          <cell r="C23">
            <v>37219692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3009397</v>
          </cell>
        </row>
        <row r="5">
          <cell r="L5">
            <v>3058</v>
          </cell>
        </row>
        <row r="6">
          <cell r="L6">
            <v>635378</v>
          </cell>
        </row>
        <row r="7">
          <cell r="L7">
            <v>19274518</v>
          </cell>
        </row>
        <row r="8">
          <cell r="L8">
            <v>7286518</v>
          </cell>
        </row>
        <row r="9">
          <cell r="L9">
            <v>2487036</v>
          </cell>
        </row>
        <row r="10">
          <cell r="L10">
            <v>106049</v>
          </cell>
        </row>
        <row r="11">
          <cell r="L11">
            <v>1232288</v>
          </cell>
        </row>
        <row r="12">
          <cell r="L12">
            <v>0</v>
          </cell>
        </row>
        <row r="13">
          <cell r="L13">
            <v>342592</v>
          </cell>
        </row>
        <row r="14">
          <cell r="L14">
            <v>28427</v>
          </cell>
        </row>
        <row r="15">
          <cell r="L15">
            <v>6347237</v>
          </cell>
        </row>
        <row r="16">
          <cell r="L16">
            <v>1207166</v>
          </cell>
        </row>
        <row r="17">
          <cell r="L17">
            <v>453619</v>
          </cell>
        </row>
        <row r="18">
          <cell r="L18">
            <v>330539</v>
          </cell>
        </row>
        <row r="19">
          <cell r="L19">
            <v>1113024</v>
          </cell>
        </row>
        <row r="20">
          <cell r="L20">
            <v>1591897</v>
          </cell>
        </row>
        <row r="21">
          <cell r="L21">
            <v>10285575</v>
          </cell>
        </row>
        <row r="22">
          <cell r="L22">
            <v>477431</v>
          </cell>
        </row>
        <row r="23">
          <cell r="L23">
            <v>3988330</v>
          </cell>
        </row>
        <row r="24">
          <cell r="L24">
            <v>837470</v>
          </cell>
        </row>
        <row r="25">
          <cell r="L25">
            <v>4793</v>
          </cell>
        </row>
        <row r="26">
          <cell r="L26">
            <v>422541</v>
          </cell>
        </row>
        <row r="27">
          <cell r="L27">
            <v>8841129</v>
          </cell>
        </row>
        <row r="28">
          <cell r="L28">
            <v>326644</v>
          </cell>
        </row>
        <row r="29">
          <cell r="L29">
            <v>643</v>
          </cell>
        </row>
        <row r="30">
          <cell r="L30">
            <v>762301</v>
          </cell>
        </row>
        <row r="31">
          <cell r="L31">
            <v>1729350</v>
          </cell>
        </row>
        <row r="32">
          <cell r="L32">
            <v>28015272</v>
          </cell>
        </row>
        <row r="33">
          <cell r="L33">
            <v>1823028</v>
          </cell>
        </row>
        <row r="34">
          <cell r="L34">
            <v>2183475</v>
          </cell>
        </row>
        <row r="35">
          <cell r="L35">
            <v>351945</v>
          </cell>
        </row>
        <row r="36">
          <cell r="L36">
            <v>10785069</v>
          </cell>
        </row>
        <row r="37">
          <cell r="L37">
            <v>30751761</v>
          </cell>
        </row>
        <row r="38">
          <cell r="L38">
            <v>61325067</v>
          </cell>
        </row>
        <row r="39">
          <cell r="L39">
            <v>2560876</v>
          </cell>
        </row>
        <row r="40">
          <cell r="L40">
            <v>387760</v>
          </cell>
        </row>
        <row r="41">
          <cell r="L41">
            <v>18528907</v>
          </cell>
        </row>
        <row r="42">
          <cell r="L42">
            <v>9560543</v>
          </cell>
        </row>
        <row r="43">
          <cell r="L43">
            <v>13272952</v>
          </cell>
        </row>
        <row r="44">
          <cell r="L44">
            <v>335746315</v>
          </cell>
        </row>
        <row r="45">
          <cell r="L45">
            <v>22436</v>
          </cell>
        </row>
        <row r="46">
          <cell r="L46">
            <v>57873072</v>
          </cell>
        </row>
      </sheetData>
      <sheetData sheetId="6">
        <row r="23">
          <cell r="C23">
            <v>37915702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1053991</v>
          </cell>
        </row>
        <row r="5">
          <cell r="L5">
            <v>3622</v>
          </cell>
        </row>
        <row r="6">
          <cell r="L6">
            <v>619763</v>
          </cell>
        </row>
        <row r="7">
          <cell r="L7">
            <v>20168797</v>
          </cell>
        </row>
        <row r="8">
          <cell r="L8">
            <v>7147988</v>
          </cell>
        </row>
        <row r="9">
          <cell r="L9">
            <v>2816200</v>
          </cell>
        </row>
        <row r="10">
          <cell r="L10">
            <v>137193</v>
          </cell>
        </row>
        <row r="11">
          <cell r="L11">
            <v>1222776</v>
          </cell>
        </row>
        <row r="12">
          <cell r="L12">
            <v>0</v>
          </cell>
        </row>
        <row r="13">
          <cell r="L13">
            <v>366431</v>
          </cell>
        </row>
        <row r="14">
          <cell r="L14">
            <v>51877</v>
          </cell>
        </row>
        <row r="15">
          <cell r="L15">
            <v>6157447</v>
          </cell>
        </row>
        <row r="16">
          <cell r="L16">
            <v>1203582</v>
          </cell>
        </row>
        <row r="17">
          <cell r="L17">
            <v>454017</v>
          </cell>
        </row>
        <row r="18">
          <cell r="L18">
            <v>332887</v>
          </cell>
        </row>
        <row r="19">
          <cell r="L19">
            <v>1146934</v>
          </cell>
        </row>
        <row r="20">
          <cell r="L20">
            <v>1626191</v>
          </cell>
        </row>
        <row r="21">
          <cell r="L21">
            <v>10367171</v>
          </cell>
        </row>
        <row r="22">
          <cell r="L22">
            <v>484569</v>
          </cell>
        </row>
        <row r="23">
          <cell r="L23">
            <v>3899793</v>
          </cell>
        </row>
        <row r="24">
          <cell r="L24">
            <v>847227</v>
          </cell>
        </row>
        <row r="25">
          <cell r="L25">
            <v>8602</v>
          </cell>
        </row>
        <row r="26">
          <cell r="L26">
            <v>434447</v>
          </cell>
        </row>
        <row r="27">
          <cell r="L27">
            <v>8705740</v>
          </cell>
        </row>
        <row r="28">
          <cell r="L28">
            <v>2995202</v>
          </cell>
        </row>
        <row r="29">
          <cell r="L29">
            <v>0</v>
          </cell>
        </row>
        <row r="30">
          <cell r="L30">
            <v>809956</v>
          </cell>
        </row>
        <row r="31">
          <cell r="L31">
            <v>1640631</v>
          </cell>
        </row>
        <row r="32">
          <cell r="L32">
            <v>31073776</v>
          </cell>
        </row>
        <row r="33">
          <cell r="L33">
            <v>1839146</v>
          </cell>
        </row>
        <row r="34">
          <cell r="L34">
            <v>4026442</v>
          </cell>
        </row>
        <row r="35">
          <cell r="L35">
            <v>355501</v>
          </cell>
        </row>
        <row r="36">
          <cell r="L36">
            <v>11076047</v>
          </cell>
        </row>
        <row r="37">
          <cell r="L37">
            <v>27778408</v>
          </cell>
        </row>
        <row r="38">
          <cell r="L38">
            <v>60984664</v>
          </cell>
        </row>
        <row r="39">
          <cell r="L39">
            <v>2516101</v>
          </cell>
        </row>
        <row r="40">
          <cell r="L40">
            <v>528308</v>
          </cell>
        </row>
        <row r="41">
          <cell r="L41">
            <v>19107851</v>
          </cell>
        </row>
        <row r="42">
          <cell r="L42">
            <v>9599288</v>
          </cell>
        </row>
        <row r="43">
          <cell r="L43">
            <v>13652966</v>
          </cell>
        </row>
        <row r="44">
          <cell r="L44">
            <v>339988888</v>
          </cell>
        </row>
        <row r="45">
          <cell r="L45">
            <v>20953</v>
          </cell>
        </row>
        <row r="46">
          <cell r="L46">
            <v>56742686</v>
          </cell>
        </row>
      </sheetData>
      <sheetData sheetId="6">
        <row r="23">
          <cell r="C23">
            <v>39611979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1032249</v>
          </cell>
        </row>
        <row r="5">
          <cell r="L5">
            <v>5729</v>
          </cell>
        </row>
        <row r="6">
          <cell r="L6">
            <v>581105</v>
          </cell>
        </row>
        <row r="7">
          <cell r="L7">
            <v>19047865</v>
          </cell>
        </row>
        <row r="8">
          <cell r="L8">
            <v>8761209</v>
          </cell>
        </row>
        <row r="9">
          <cell r="L9">
            <v>3075905</v>
          </cell>
        </row>
        <row r="10">
          <cell r="L10">
            <v>126747</v>
          </cell>
        </row>
        <row r="11">
          <cell r="L11">
            <v>1227168</v>
          </cell>
        </row>
        <row r="12">
          <cell r="L12">
            <v>0</v>
          </cell>
        </row>
        <row r="13">
          <cell r="L13">
            <v>340778</v>
          </cell>
        </row>
        <row r="14">
          <cell r="L14">
            <v>52506</v>
          </cell>
        </row>
        <row r="15">
          <cell r="L15">
            <v>6204346</v>
          </cell>
        </row>
        <row r="16">
          <cell r="L16">
            <v>1162576</v>
          </cell>
        </row>
        <row r="17">
          <cell r="L17">
            <v>442643</v>
          </cell>
        </row>
        <row r="18">
          <cell r="L18">
            <v>327477</v>
          </cell>
        </row>
        <row r="19">
          <cell r="L19">
            <v>1115289</v>
          </cell>
        </row>
        <row r="20">
          <cell r="L20">
            <v>1584482</v>
          </cell>
        </row>
        <row r="21">
          <cell r="L21">
            <v>10527797</v>
          </cell>
        </row>
        <row r="22">
          <cell r="L22">
            <v>486658</v>
          </cell>
        </row>
        <row r="23">
          <cell r="L23">
            <v>3718694</v>
          </cell>
        </row>
        <row r="24">
          <cell r="L24">
            <v>918479</v>
          </cell>
        </row>
        <row r="25">
          <cell r="L25">
            <v>8430</v>
          </cell>
        </row>
        <row r="26">
          <cell r="L26">
            <v>426592</v>
          </cell>
        </row>
        <row r="27">
          <cell r="L27">
            <v>8204625</v>
          </cell>
        </row>
        <row r="28">
          <cell r="L28">
            <v>2885122</v>
          </cell>
        </row>
        <row r="29">
          <cell r="L29">
            <v>0</v>
          </cell>
        </row>
        <row r="30">
          <cell r="L30">
            <v>823778</v>
          </cell>
        </row>
        <row r="31">
          <cell r="L31">
            <v>2030975</v>
          </cell>
        </row>
        <row r="32">
          <cell r="L32">
            <v>30628981</v>
          </cell>
        </row>
        <row r="33">
          <cell r="L33">
            <v>1822322</v>
          </cell>
        </row>
        <row r="34">
          <cell r="L34">
            <v>3946589</v>
          </cell>
        </row>
        <row r="35">
          <cell r="L35">
            <v>303896</v>
          </cell>
        </row>
        <row r="36">
          <cell r="L36">
            <v>11221634</v>
          </cell>
        </row>
        <row r="37">
          <cell r="L37">
            <v>28270186</v>
          </cell>
        </row>
        <row r="38">
          <cell r="L38">
            <v>62733557</v>
          </cell>
        </row>
        <row r="39">
          <cell r="L39">
            <v>2544373</v>
          </cell>
        </row>
        <row r="40">
          <cell r="L40">
            <v>532313</v>
          </cell>
        </row>
        <row r="41">
          <cell r="L41">
            <v>21668794</v>
          </cell>
        </row>
        <row r="42">
          <cell r="L42">
            <v>9848173</v>
          </cell>
        </row>
        <row r="43">
          <cell r="L43">
            <v>9856456</v>
          </cell>
        </row>
        <row r="44">
          <cell r="L44">
            <v>342733205</v>
          </cell>
        </row>
        <row r="45">
          <cell r="L45">
            <v>20969</v>
          </cell>
        </row>
        <row r="46">
          <cell r="L46">
            <v>54258901</v>
          </cell>
        </row>
      </sheetData>
      <sheetData sheetId="6">
        <row r="23">
          <cell r="C23">
            <v>38985810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1091085</v>
          </cell>
        </row>
        <row r="5">
          <cell r="L5">
            <v>3755</v>
          </cell>
        </row>
        <row r="6">
          <cell r="L6">
            <v>570588</v>
          </cell>
        </row>
        <row r="7">
          <cell r="L7">
            <v>17095384</v>
          </cell>
        </row>
        <row r="8">
          <cell r="L8">
            <v>7442253</v>
          </cell>
        </row>
        <row r="9">
          <cell r="L9">
            <v>3270529</v>
          </cell>
        </row>
        <row r="10">
          <cell r="L10">
            <v>135003</v>
          </cell>
        </row>
        <row r="11">
          <cell r="L11">
            <v>1229370</v>
          </cell>
        </row>
        <row r="12">
          <cell r="L12">
            <v>0</v>
          </cell>
        </row>
        <row r="13">
          <cell r="L13">
            <v>334553</v>
          </cell>
        </row>
        <row r="14">
          <cell r="L14">
            <v>50992</v>
          </cell>
        </row>
        <row r="15">
          <cell r="L15">
            <v>6985470</v>
          </cell>
        </row>
        <row r="16">
          <cell r="L16">
            <v>1159073</v>
          </cell>
        </row>
        <row r="17">
          <cell r="L17">
            <v>443430</v>
          </cell>
        </row>
        <row r="18">
          <cell r="L18">
            <v>324796</v>
          </cell>
        </row>
        <row r="19">
          <cell r="L19">
            <v>3701637</v>
          </cell>
        </row>
        <row r="20">
          <cell r="L20">
            <v>1539768</v>
          </cell>
        </row>
        <row r="21">
          <cell r="L21">
            <v>10920806</v>
          </cell>
        </row>
        <row r="22">
          <cell r="L22">
            <v>461631</v>
          </cell>
        </row>
        <row r="23">
          <cell r="L23">
            <v>3721743</v>
          </cell>
        </row>
        <row r="24">
          <cell r="L24">
            <v>892119</v>
          </cell>
        </row>
        <row r="25">
          <cell r="L25">
            <v>19533</v>
          </cell>
        </row>
        <row r="26">
          <cell r="L26">
            <v>431327</v>
          </cell>
        </row>
        <row r="27">
          <cell r="L27">
            <v>8249492</v>
          </cell>
        </row>
        <row r="28">
          <cell r="L28">
            <v>2868036</v>
          </cell>
        </row>
        <row r="29">
          <cell r="L29">
            <v>0</v>
          </cell>
        </row>
        <row r="30">
          <cell r="L30">
            <v>842379</v>
          </cell>
        </row>
        <row r="31">
          <cell r="L31">
            <v>1932134</v>
          </cell>
        </row>
        <row r="32">
          <cell r="L32">
            <v>29720119</v>
          </cell>
        </row>
        <row r="33">
          <cell r="L33">
            <v>1754973</v>
          </cell>
        </row>
        <row r="34">
          <cell r="L34">
            <v>3922190</v>
          </cell>
        </row>
        <row r="35">
          <cell r="L35">
            <v>297415</v>
          </cell>
        </row>
        <row r="36">
          <cell r="L36">
            <v>11478304</v>
          </cell>
        </row>
        <row r="37">
          <cell r="L37">
            <v>27710995</v>
          </cell>
        </row>
        <row r="38">
          <cell r="L38">
            <v>64430933</v>
          </cell>
        </row>
        <row r="39">
          <cell r="L39">
            <v>2539776</v>
          </cell>
        </row>
        <row r="40">
          <cell r="L40">
            <v>485360</v>
          </cell>
        </row>
        <row r="41">
          <cell r="L41">
            <v>23599099</v>
          </cell>
        </row>
        <row r="42">
          <cell r="L42">
            <v>9786077</v>
          </cell>
        </row>
        <row r="43">
          <cell r="L43">
            <v>8329133</v>
          </cell>
        </row>
        <row r="44">
          <cell r="L44">
            <v>343233800</v>
          </cell>
        </row>
        <row r="45">
          <cell r="L45">
            <v>21761</v>
          </cell>
        </row>
        <row r="46">
          <cell r="L46">
            <v>53677821</v>
          </cell>
        </row>
      </sheetData>
      <sheetData sheetId="6">
        <row r="23">
          <cell r="C23">
            <v>49923240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1426522</v>
          </cell>
        </row>
        <row r="5">
          <cell r="L5">
            <v>10417</v>
          </cell>
        </row>
        <row r="6">
          <cell r="L6">
            <v>639344</v>
          </cell>
        </row>
        <row r="7">
          <cell r="L7">
            <v>18056043</v>
          </cell>
        </row>
        <row r="8">
          <cell r="L8">
            <v>8076002</v>
          </cell>
        </row>
        <row r="9">
          <cell r="L9">
            <v>3255647</v>
          </cell>
        </row>
        <row r="10">
          <cell r="L10">
            <v>156860</v>
          </cell>
        </row>
        <row r="11">
          <cell r="L11">
            <v>1197282</v>
          </cell>
        </row>
        <row r="12">
          <cell r="L12">
            <v>0</v>
          </cell>
        </row>
        <row r="13">
          <cell r="L13">
            <v>156</v>
          </cell>
        </row>
        <row r="14">
          <cell r="L14">
            <v>49674</v>
          </cell>
        </row>
        <row r="15">
          <cell r="L15">
            <v>6808074</v>
          </cell>
        </row>
        <row r="16">
          <cell r="L16">
            <v>1101767</v>
          </cell>
        </row>
        <row r="17">
          <cell r="L17">
            <v>1135122</v>
          </cell>
        </row>
        <row r="18">
          <cell r="L18">
            <v>247028</v>
          </cell>
        </row>
        <row r="19">
          <cell r="L19">
            <v>4134737</v>
          </cell>
        </row>
        <row r="20">
          <cell r="L20">
            <v>1582238</v>
          </cell>
        </row>
        <row r="21">
          <cell r="L21">
            <v>10680906</v>
          </cell>
        </row>
        <row r="22">
          <cell r="L22">
            <v>478470</v>
          </cell>
        </row>
        <row r="23">
          <cell r="L23">
            <v>3716860</v>
          </cell>
        </row>
        <row r="24">
          <cell r="L24">
            <v>938120</v>
          </cell>
        </row>
        <row r="25">
          <cell r="L25">
            <v>131772</v>
          </cell>
        </row>
        <row r="26">
          <cell r="L26">
            <v>426568</v>
          </cell>
        </row>
        <row r="27">
          <cell r="L27">
            <v>8219606</v>
          </cell>
        </row>
        <row r="28">
          <cell r="L28">
            <v>2802262</v>
          </cell>
        </row>
        <row r="29">
          <cell r="L29">
            <v>0</v>
          </cell>
        </row>
        <row r="30">
          <cell r="L30">
            <v>848039</v>
          </cell>
        </row>
        <row r="31">
          <cell r="L31">
            <v>1945156</v>
          </cell>
        </row>
        <row r="32">
          <cell r="L32">
            <v>31056961</v>
          </cell>
        </row>
        <row r="33">
          <cell r="L33">
            <v>1619575</v>
          </cell>
        </row>
        <row r="34">
          <cell r="L34">
            <v>2724127</v>
          </cell>
        </row>
        <row r="35">
          <cell r="L35">
            <v>321869</v>
          </cell>
        </row>
        <row r="36">
          <cell r="L36">
            <v>12099497</v>
          </cell>
        </row>
        <row r="37">
          <cell r="L37">
            <v>29140719</v>
          </cell>
        </row>
        <row r="38">
          <cell r="L38">
            <v>66543765</v>
          </cell>
        </row>
        <row r="39">
          <cell r="L39">
            <v>2490893</v>
          </cell>
        </row>
        <row r="40">
          <cell r="L40">
            <v>500785</v>
          </cell>
        </row>
        <row r="41">
          <cell r="L41">
            <v>24169106</v>
          </cell>
        </row>
        <row r="42">
          <cell r="L42">
            <v>9810107</v>
          </cell>
        </row>
        <row r="43">
          <cell r="L43">
            <v>8390012</v>
          </cell>
        </row>
        <row r="44">
          <cell r="L44">
            <v>347316114</v>
          </cell>
        </row>
        <row r="45">
          <cell r="L45">
            <v>20967</v>
          </cell>
        </row>
        <row r="46">
          <cell r="L46">
            <v>52236061</v>
          </cell>
        </row>
      </sheetData>
      <sheetData sheetId="6">
        <row r="23">
          <cell r="C23">
            <v>50329768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Nov05l&amp;a"/>
    </sheetNames>
    <sheetDataSet>
      <sheetData sheetId="0">
        <row r="10">
          <cell r="H10">
            <v>1483033</v>
          </cell>
        </row>
        <row r="19">
          <cell r="H19">
            <v>122652</v>
          </cell>
        </row>
        <row r="23">
          <cell r="H23">
            <v>171269</v>
          </cell>
        </row>
        <row r="25">
          <cell r="I25">
            <v>281210</v>
          </cell>
        </row>
        <row r="30">
          <cell r="H30">
            <v>343752</v>
          </cell>
        </row>
        <row r="31">
          <cell r="H31">
            <v>2072855</v>
          </cell>
        </row>
        <row r="32">
          <cell r="H32">
            <v>5</v>
          </cell>
        </row>
        <row r="33">
          <cell r="H33">
            <v>226413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Dec05l&amp;a"/>
    </sheetNames>
    <sheetDataSet>
      <sheetData sheetId="0">
        <row r="10">
          <cell r="H10">
            <v>1518900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Jan06l&amp;a"/>
    </sheetNames>
    <sheetDataSet>
      <sheetData sheetId="0">
        <row r="10">
          <cell r="H10">
            <v>1438602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ug10loa"/>
    </sheetNames>
    <sheetDataSet>
      <sheetData sheetId="0">
        <row r="10">
          <cell r="I10">
            <v>4200829</v>
          </cell>
        </row>
        <row r="19">
          <cell r="I19">
            <v>152891</v>
          </cell>
        </row>
        <row r="23">
          <cell r="I23">
            <v>1398</v>
          </cell>
        </row>
        <row r="25">
          <cell r="J25">
            <v>419679</v>
          </cell>
        </row>
        <row r="30">
          <cell r="I30">
            <v>123854</v>
          </cell>
        </row>
        <row r="31">
          <cell r="I31">
            <v>2685897</v>
          </cell>
        </row>
        <row r="32">
          <cell r="I32">
            <v>0</v>
          </cell>
        </row>
        <row r="33">
          <cell r="I33">
            <v>122017</v>
          </cell>
        </row>
        <row r="34">
          <cell r="I34">
            <v>124570</v>
          </cell>
        </row>
        <row r="35">
          <cell r="I35">
            <v>727694</v>
          </cell>
        </row>
        <row r="36">
          <cell r="I36">
            <v>376969</v>
          </cell>
        </row>
        <row r="37">
          <cell r="I37">
            <v>1158900</v>
          </cell>
        </row>
        <row r="38">
          <cell r="I38">
            <v>740853</v>
          </cell>
        </row>
        <row r="39">
          <cell r="I39">
            <v>2656994</v>
          </cell>
        </row>
        <row r="42">
          <cell r="I42">
            <v>19368662</v>
          </cell>
        </row>
        <row r="43">
          <cell r="I43">
            <v>535988</v>
          </cell>
        </row>
        <row r="44">
          <cell r="I44">
            <v>236420</v>
          </cell>
        </row>
        <row r="46">
          <cell r="J46">
            <v>844024</v>
          </cell>
        </row>
        <row r="49">
          <cell r="I49">
            <v>4882948</v>
          </cell>
        </row>
        <row r="50">
          <cell r="I50">
            <v>311548</v>
          </cell>
        </row>
        <row r="51">
          <cell r="I51">
            <v>4470395</v>
          </cell>
        </row>
        <row r="53">
          <cell r="J53">
            <v>5980140</v>
          </cell>
        </row>
        <row r="56">
          <cell r="I56">
            <v>11696253</v>
          </cell>
        </row>
        <row r="57">
          <cell r="I57">
            <v>33</v>
          </cell>
        </row>
        <row r="58">
          <cell r="I58">
            <v>15874686</v>
          </cell>
        </row>
        <row r="59">
          <cell r="I59">
            <v>4010820</v>
          </cell>
        </row>
        <row r="61">
          <cell r="J61">
            <v>29386893</v>
          </cell>
        </row>
        <row r="63">
          <cell r="J63">
            <v>32009824</v>
          </cell>
        </row>
        <row r="65">
          <cell r="J65">
            <v>360945</v>
          </cell>
        </row>
        <row r="67">
          <cell r="J67">
            <v>17037632</v>
          </cell>
        </row>
        <row r="73">
          <cell r="J73">
            <v>84888784</v>
          </cell>
        </row>
        <row r="77">
          <cell r="J77">
            <v>6457307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Feb06l&amp;a"/>
    </sheetNames>
    <sheetDataSet>
      <sheetData sheetId="0">
        <row r="10">
          <cell r="H10">
            <v>1459493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Mar06l&amp;a"/>
    </sheetNames>
    <sheetDataSet>
      <sheetData sheetId="0">
        <row r="10">
          <cell r="H10">
            <v>1449848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May06l&amp;a"/>
    </sheetNames>
    <sheetDataSet>
      <sheetData sheetId="0">
        <row r="10">
          <cell r="H10">
            <v>1470036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June06l&amp;a"/>
    </sheetNames>
    <sheetDataSet>
      <sheetData sheetId="0">
        <row r="10">
          <cell r="H10">
            <v>1432646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July06l&amp;a"/>
    </sheetNames>
    <sheetDataSet>
      <sheetData sheetId="0">
        <row r="10">
          <cell r="H10">
            <v>1374849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Sep06l&amp;a"/>
    </sheetNames>
    <sheetDataSet>
      <sheetData sheetId="0">
        <row r="10">
          <cell r="H10">
            <v>1373956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Oct06l&amp;a"/>
    </sheetNames>
    <sheetDataSet>
      <sheetData sheetId="0">
        <row r="10">
          <cell r="H10">
            <v>1372764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Nov06l&amp;a"/>
    </sheetNames>
    <sheetDataSet>
      <sheetData sheetId="0">
        <row r="10">
          <cell r="H10">
            <v>1839745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Dec06l&amp;a"/>
    </sheetNames>
    <sheetDataSet>
      <sheetData sheetId="0">
        <row r="10">
          <cell r="H10">
            <v>1836524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Jan07loa"/>
    </sheetNames>
    <sheetDataSet>
      <sheetData sheetId="0">
        <row r="10">
          <cell r="H10">
            <v>1532163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p10loa"/>
    </sheetNames>
    <sheetDataSet>
      <sheetData sheetId="0">
        <row r="10">
          <cell r="I10">
            <v>4609488</v>
          </cell>
        </row>
        <row r="19">
          <cell r="I19">
            <v>162203</v>
          </cell>
        </row>
        <row r="23">
          <cell r="I23">
            <v>1370</v>
          </cell>
        </row>
        <row r="25">
          <cell r="J25">
            <v>387019</v>
          </cell>
        </row>
        <row r="30">
          <cell r="I30">
            <v>143100</v>
          </cell>
        </row>
        <row r="31">
          <cell r="I31">
            <v>1823029</v>
          </cell>
        </row>
        <row r="32">
          <cell r="I32">
            <v>0</v>
          </cell>
        </row>
        <row r="33">
          <cell r="I33">
            <v>125936</v>
          </cell>
        </row>
        <row r="34">
          <cell r="I34">
            <v>139919</v>
          </cell>
        </row>
        <row r="35">
          <cell r="I35">
            <v>700281</v>
          </cell>
        </row>
        <row r="36">
          <cell r="I36">
            <v>379230</v>
          </cell>
        </row>
        <row r="37">
          <cell r="I37">
            <v>1132835</v>
          </cell>
        </row>
        <row r="38">
          <cell r="I38">
            <v>729075</v>
          </cell>
        </row>
        <row r="39">
          <cell r="I39">
            <v>2541425</v>
          </cell>
        </row>
        <row r="42">
          <cell r="I42">
            <v>19579081</v>
          </cell>
        </row>
        <row r="43">
          <cell r="I43">
            <v>590499</v>
          </cell>
        </row>
        <row r="44">
          <cell r="I44">
            <v>275718</v>
          </cell>
        </row>
        <row r="46">
          <cell r="J46">
            <v>860025</v>
          </cell>
        </row>
        <row r="49">
          <cell r="I49">
            <v>4832006</v>
          </cell>
        </row>
        <row r="50">
          <cell r="I50">
            <v>302791</v>
          </cell>
        </row>
        <row r="51">
          <cell r="I51">
            <v>4373195</v>
          </cell>
        </row>
        <row r="53">
          <cell r="J53">
            <v>5963303</v>
          </cell>
        </row>
        <row r="56">
          <cell r="I56">
            <v>11612899</v>
          </cell>
        </row>
        <row r="57">
          <cell r="I57">
            <v>33</v>
          </cell>
        </row>
        <row r="58">
          <cell r="I58">
            <v>15575763</v>
          </cell>
        </row>
        <row r="59">
          <cell r="I59">
            <v>4058379</v>
          </cell>
        </row>
        <row r="61">
          <cell r="J61">
            <v>29152077</v>
          </cell>
        </row>
        <row r="63">
          <cell r="J63">
            <v>32013027</v>
          </cell>
        </row>
        <row r="65">
          <cell r="J65">
            <v>416549</v>
          </cell>
        </row>
        <row r="67">
          <cell r="J67">
            <v>17115824</v>
          </cell>
        </row>
        <row r="73">
          <cell r="J73">
            <v>86101747</v>
          </cell>
        </row>
        <row r="77">
          <cell r="J77">
            <v>6497163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Feb07l&amp;a"/>
    </sheetNames>
    <sheetDataSet>
      <sheetData sheetId="0">
        <row r="10">
          <cell r="H10">
            <v>1939381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Mar07l&amp;a"/>
    </sheetNames>
    <sheetDataSet>
      <sheetData sheetId="0">
        <row r="10">
          <cell r="H10">
            <v>2105878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May07l&amp;a"/>
    </sheetNames>
    <sheetDataSet>
      <sheetData sheetId="0">
        <row r="10">
          <cell r="H10">
            <v>2150292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Jun07l&amp;a"/>
    </sheetNames>
    <sheetDataSet>
      <sheetData sheetId="0">
        <row r="10">
          <cell r="H10">
            <v>1981126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July07l&amp;a"/>
    </sheetNames>
    <sheetDataSet>
      <sheetData sheetId="0">
        <row r="10">
          <cell r="H10">
            <v>1952235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Aug07l&amp;a"/>
    </sheetNames>
    <sheetDataSet>
      <sheetData sheetId="0">
        <row r="10">
          <cell r="H10">
            <v>1602386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Sep07loa"/>
    </sheetNames>
    <sheetDataSet>
      <sheetData sheetId="0">
        <row r="10">
          <cell r="H10">
            <v>1748997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Oct07loa"/>
    </sheetNames>
    <sheetDataSet>
      <sheetData sheetId="0">
        <row r="10">
          <cell r="H10">
            <v>1935517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Nov07loa"/>
    </sheetNames>
    <sheetDataSet>
      <sheetData sheetId="0">
        <row r="10">
          <cell r="H10">
            <v>1929888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Dec07loa"/>
    </sheetNames>
    <sheetDataSet>
      <sheetData sheetId="0">
        <row r="10">
          <cell r="H10">
            <v>1939686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ct10loa"/>
    </sheetNames>
    <sheetDataSet>
      <sheetData sheetId="0">
        <row r="10">
          <cell r="I10">
            <v>4493605</v>
          </cell>
        </row>
        <row r="19">
          <cell r="I19">
            <v>145866</v>
          </cell>
        </row>
        <row r="23">
          <cell r="I23">
            <v>2172</v>
          </cell>
        </row>
        <row r="25">
          <cell r="J25">
            <v>372116</v>
          </cell>
        </row>
        <row r="30">
          <cell r="I30">
            <v>119579</v>
          </cell>
        </row>
        <row r="31">
          <cell r="I31">
            <v>1859053</v>
          </cell>
        </row>
        <row r="32">
          <cell r="I32">
            <v>0</v>
          </cell>
        </row>
        <row r="33">
          <cell r="I33">
            <v>116889</v>
          </cell>
        </row>
        <row r="34">
          <cell r="I34">
            <v>139162</v>
          </cell>
        </row>
        <row r="35">
          <cell r="I35">
            <v>706754</v>
          </cell>
        </row>
        <row r="36">
          <cell r="I36">
            <v>398898</v>
          </cell>
        </row>
        <row r="37">
          <cell r="I37">
            <v>1064395</v>
          </cell>
        </row>
        <row r="38">
          <cell r="I38">
            <v>639941</v>
          </cell>
        </row>
        <row r="39">
          <cell r="I39">
            <v>2973489</v>
          </cell>
        </row>
        <row r="42">
          <cell r="I42">
            <v>19691467</v>
          </cell>
        </row>
        <row r="43">
          <cell r="I43">
            <v>580535</v>
          </cell>
        </row>
        <row r="44">
          <cell r="I44">
            <v>272722</v>
          </cell>
        </row>
        <row r="46">
          <cell r="J46">
            <v>866773</v>
          </cell>
        </row>
        <row r="49">
          <cell r="I49">
            <v>4812120</v>
          </cell>
        </row>
        <row r="50">
          <cell r="I50">
            <v>298825</v>
          </cell>
        </row>
        <row r="51">
          <cell r="I51">
            <v>4320021</v>
          </cell>
        </row>
        <row r="53">
          <cell r="J53">
            <v>5838479</v>
          </cell>
        </row>
        <row r="56">
          <cell r="I56">
            <v>11140194</v>
          </cell>
        </row>
        <row r="57">
          <cell r="I57">
            <v>33</v>
          </cell>
        </row>
        <row r="58">
          <cell r="I58">
            <v>15307196</v>
          </cell>
        </row>
        <row r="59">
          <cell r="I59">
            <v>3960586</v>
          </cell>
        </row>
        <row r="61">
          <cell r="J61">
            <v>28416859</v>
          </cell>
        </row>
        <row r="63">
          <cell r="J63">
            <v>31687163</v>
          </cell>
        </row>
        <row r="65">
          <cell r="J65">
            <v>470710</v>
          </cell>
        </row>
        <row r="67">
          <cell r="J67">
            <v>17474889</v>
          </cell>
        </row>
        <row r="73">
          <cell r="J73">
            <v>86648646</v>
          </cell>
        </row>
        <row r="77">
          <cell r="J77">
            <v>6830244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Jan08loa"/>
    </sheetNames>
    <sheetDataSet>
      <sheetData sheetId="0">
        <row r="10">
          <cell r="H10">
            <v>1926390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Feb08loa"/>
    </sheetNames>
    <sheetDataSet>
      <sheetData sheetId="0">
        <row r="10">
          <cell r="H10">
            <v>2090174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Mar08loa"/>
    </sheetNames>
    <sheetDataSet>
      <sheetData sheetId="0">
        <row r="10">
          <cell r="H10">
            <v>1973985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Apr08loa"/>
    </sheetNames>
    <sheetDataSet>
      <sheetData sheetId="0">
        <row r="10">
          <cell r="H10">
            <v>1974560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May08loa"/>
    </sheetNames>
    <sheetDataSet>
      <sheetData sheetId="0">
        <row r="10">
          <cell r="H10">
            <v>2103877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Jun08loa"/>
    </sheetNames>
    <sheetDataSet>
      <sheetData sheetId="0">
        <row r="10">
          <cell r="I10">
            <v>2895033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Jul08loa"/>
    </sheetNames>
    <sheetDataSet>
      <sheetData sheetId="0">
        <row r="10">
          <cell r="I10">
            <v>2933383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Aug08loa"/>
    </sheetNames>
    <sheetDataSet>
      <sheetData sheetId="0">
        <row r="10">
          <cell r="I10">
            <v>3128385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Sep08loa"/>
    </sheetNames>
    <sheetDataSet>
      <sheetData sheetId="0">
        <row r="10">
          <cell r="I10">
            <v>3246364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Oct08loa"/>
    </sheetNames>
    <sheetDataSet>
      <sheetData sheetId="0">
        <row r="10">
          <cell r="I10">
            <v>3337609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v10loa"/>
    </sheetNames>
    <sheetDataSet>
      <sheetData sheetId="0">
        <row r="10">
          <cell r="I10">
            <v>4418968</v>
          </cell>
        </row>
        <row r="19">
          <cell r="I19">
            <v>150440</v>
          </cell>
        </row>
        <row r="23">
          <cell r="I23">
            <v>2144</v>
          </cell>
        </row>
        <row r="25">
          <cell r="J25">
            <v>428653</v>
          </cell>
        </row>
        <row r="30">
          <cell r="I30">
            <v>114880</v>
          </cell>
        </row>
        <row r="31">
          <cell r="I31">
            <v>1758024</v>
          </cell>
        </row>
        <row r="32">
          <cell r="I32">
            <v>0</v>
          </cell>
        </row>
        <row r="33">
          <cell r="I33">
            <v>122446</v>
          </cell>
        </row>
        <row r="34">
          <cell r="I34">
            <v>147436</v>
          </cell>
        </row>
        <row r="35">
          <cell r="I35">
            <v>690907</v>
          </cell>
        </row>
        <row r="36">
          <cell r="I36">
            <v>392553</v>
          </cell>
        </row>
        <row r="37">
          <cell r="I37">
            <v>1073662</v>
          </cell>
        </row>
        <row r="38">
          <cell r="I38">
            <v>645334</v>
          </cell>
        </row>
        <row r="39">
          <cell r="I39">
            <v>2868509</v>
          </cell>
        </row>
        <row r="42">
          <cell r="I42">
            <v>19695001</v>
          </cell>
        </row>
        <row r="43">
          <cell r="I43">
            <v>581246</v>
          </cell>
        </row>
        <row r="44">
          <cell r="I44">
            <v>277078</v>
          </cell>
        </row>
        <row r="46">
          <cell r="J46">
            <v>1067860</v>
          </cell>
        </row>
        <row r="49">
          <cell r="I49">
            <v>4888277</v>
          </cell>
        </row>
        <row r="50">
          <cell r="I50">
            <v>291735</v>
          </cell>
        </row>
        <row r="51">
          <cell r="I51">
            <v>4171111</v>
          </cell>
        </row>
        <row r="53">
          <cell r="J53">
            <v>4980845</v>
          </cell>
        </row>
        <row r="56">
          <cell r="I56">
            <v>11255606</v>
          </cell>
        </row>
        <row r="57">
          <cell r="I57">
            <v>33</v>
          </cell>
        </row>
        <row r="58">
          <cell r="I58">
            <v>14448214</v>
          </cell>
        </row>
        <row r="59">
          <cell r="I59">
            <v>3985448</v>
          </cell>
        </row>
        <row r="61">
          <cell r="J61">
            <v>28939545</v>
          </cell>
        </row>
        <row r="63">
          <cell r="J63">
            <v>31680651</v>
          </cell>
        </row>
        <row r="65">
          <cell r="J65">
            <v>477169</v>
          </cell>
        </row>
        <row r="67">
          <cell r="J67">
            <v>17374385</v>
          </cell>
        </row>
        <row r="73">
          <cell r="J73">
            <v>87216835</v>
          </cell>
        </row>
        <row r="77">
          <cell r="J77">
            <v>6855743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Nov08loa"/>
    </sheetNames>
    <sheetDataSet>
      <sheetData sheetId="0">
        <row r="10">
          <cell r="I10">
            <v>4286139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Dec08loa"/>
    </sheetNames>
    <sheetDataSet>
      <sheetData sheetId="0">
        <row r="10">
          <cell r="I10">
            <v>4349087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Jan09loa"/>
    </sheetNames>
    <sheetDataSet>
      <sheetData sheetId="0">
        <row r="10">
          <cell r="I10">
            <v>4427457</v>
          </cell>
        </row>
        <row r="19">
          <cell r="I19">
            <v>256126</v>
          </cell>
        </row>
        <row r="23">
          <cell r="I23">
            <v>398</v>
          </cell>
        </row>
        <row r="25">
          <cell r="J25">
            <v>645325</v>
          </cell>
        </row>
        <row r="30">
          <cell r="I30">
            <v>1444452</v>
          </cell>
        </row>
        <row r="31">
          <cell r="I31">
            <v>3630324</v>
          </cell>
        </row>
        <row r="32">
          <cell r="I32">
            <v>0</v>
          </cell>
        </row>
        <row r="33">
          <cell r="I33">
            <v>126347</v>
          </cell>
        </row>
        <row r="34">
          <cell r="I34">
            <v>105449</v>
          </cell>
        </row>
        <row r="35">
          <cell r="I35">
            <v>343681</v>
          </cell>
        </row>
        <row r="36">
          <cell r="I36">
            <v>363106</v>
          </cell>
        </row>
        <row r="37">
          <cell r="I37">
            <v>750368</v>
          </cell>
        </row>
        <row r="38">
          <cell r="I38">
            <v>318168</v>
          </cell>
        </row>
        <row r="39">
          <cell r="I39">
            <v>2482001</v>
          </cell>
        </row>
        <row r="42">
          <cell r="I42">
            <v>12845678</v>
          </cell>
        </row>
        <row r="43">
          <cell r="I43">
            <v>1328133</v>
          </cell>
        </row>
        <row r="44">
          <cell r="I44">
            <v>345476</v>
          </cell>
        </row>
        <row r="46">
          <cell r="J46">
            <v>1203801</v>
          </cell>
        </row>
        <row r="49">
          <cell r="I49">
            <v>4816209</v>
          </cell>
        </row>
        <row r="50">
          <cell r="I50">
            <v>35952</v>
          </cell>
        </row>
        <row r="51">
          <cell r="I51">
            <v>7154730</v>
          </cell>
        </row>
        <row r="53">
          <cell r="J53">
            <v>3458538</v>
          </cell>
        </row>
        <row r="56">
          <cell r="I56">
            <v>5614320</v>
          </cell>
        </row>
        <row r="57">
          <cell r="I57">
            <v>1683</v>
          </cell>
        </row>
        <row r="58">
          <cell r="I58">
            <v>13681589</v>
          </cell>
        </row>
        <row r="59">
          <cell r="I59">
            <v>9879907</v>
          </cell>
        </row>
        <row r="61">
          <cell r="J61">
            <v>24972094</v>
          </cell>
        </row>
        <row r="63">
          <cell r="J63">
            <v>42974930</v>
          </cell>
        </row>
        <row r="65">
          <cell r="J65">
            <v>411769</v>
          </cell>
        </row>
        <row r="67">
          <cell r="J67">
            <v>17390389</v>
          </cell>
        </row>
        <row r="73">
          <cell r="J73">
            <v>84550789</v>
          </cell>
        </row>
        <row r="77">
          <cell r="J77">
            <v>6856396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Feb09loa"/>
    </sheetNames>
    <sheetDataSet>
      <sheetData sheetId="0">
        <row r="10">
          <cell r="I10">
            <v>4448748</v>
          </cell>
        </row>
        <row r="19">
          <cell r="I19">
            <v>241007</v>
          </cell>
        </row>
        <row r="23">
          <cell r="I23">
            <v>398</v>
          </cell>
        </row>
        <row r="25">
          <cell r="J25">
            <v>617104</v>
          </cell>
        </row>
        <row r="30">
          <cell r="I30">
            <v>1368304</v>
          </cell>
        </row>
        <row r="31">
          <cell r="I31">
            <v>3669197</v>
          </cell>
        </row>
        <row r="32">
          <cell r="I32">
            <v>0</v>
          </cell>
        </row>
        <row r="33">
          <cell r="I33">
            <v>106653</v>
          </cell>
        </row>
        <row r="34">
          <cell r="I34">
            <v>104654</v>
          </cell>
        </row>
        <row r="35">
          <cell r="I35">
            <v>262240</v>
          </cell>
        </row>
        <row r="36">
          <cell r="I36">
            <v>419569</v>
          </cell>
        </row>
        <row r="37">
          <cell r="I37">
            <v>669450</v>
          </cell>
        </row>
        <row r="38">
          <cell r="I38">
            <v>254584</v>
          </cell>
        </row>
        <row r="39">
          <cell r="I39">
            <v>2398273</v>
          </cell>
        </row>
        <row r="42">
          <cell r="I42">
            <v>12879916</v>
          </cell>
        </row>
        <row r="43">
          <cell r="I43">
            <v>1373856</v>
          </cell>
        </row>
        <row r="44">
          <cell r="I44">
            <v>394405</v>
          </cell>
        </row>
        <row r="46">
          <cell r="J46">
            <v>1379186</v>
          </cell>
        </row>
        <row r="49">
          <cell r="I49">
            <v>4915781</v>
          </cell>
        </row>
        <row r="50">
          <cell r="I50">
            <v>336098</v>
          </cell>
        </row>
        <row r="51">
          <cell r="I51">
            <v>7218529</v>
          </cell>
        </row>
        <row r="53">
          <cell r="J53">
            <v>3519406</v>
          </cell>
        </row>
        <row r="56">
          <cell r="I56">
            <v>11230963</v>
          </cell>
        </row>
        <row r="57">
          <cell r="I57">
            <v>894</v>
          </cell>
        </row>
        <row r="58">
          <cell r="I58">
            <v>13860894</v>
          </cell>
        </row>
        <row r="59">
          <cell r="I59">
            <v>8047301</v>
          </cell>
        </row>
        <row r="61">
          <cell r="J61">
            <v>25763789</v>
          </cell>
        </row>
        <row r="63">
          <cell r="J63">
            <v>43944955</v>
          </cell>
        </row>
        <row r="65">
          <cell r="J65">
            <v>403148</v>
          </cell>
        </row>
        <row r="67">
          <cell r="J67">
            <v>16717067</v>
          </cell>
        </row>
        <row r="73">
          <cell r="J73">
            <v>85027394</v>
          </cell>
        </row>
        <row r="77">
          <cell r="J77">
            <v>7013197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Mar09loa"/>
    </sheetNames>
    <sheetDataSet>
      <sheetData sheetId="0">
        <row r="10">
          <cell r="I10">
            <v>4283741</v>
          </cell>
        </row>
        <row r="19">
          <cell r="I19">
            <v>245516</v>
          </cell>
        </row>
        <row r="23">
          <cell r="I23">
            <v>398</v>
          </cell>
        </row>
        <row r="25">
          <cell r="J25">
            <v>634135</v>
          </cell>
        </row>
        <row r="30">
          <cell r="I30">
            <v>1401181</v>
          </cell>
        </row>
        <row r="31">
          <cell r="I31">
            <v>3685057</v>
          </cell>
        </row>
        <row r="32">
          <cell r="I32">
            <v>547</v>
          </cell>
        </row>
        <row r="33">
          <cell r="I33">
            <v>111649</v>
          </cell>
        </row>
        <row r="34">
          <cell r="I34">
            <v>127625</v>
          </cell>
        </row>
        <row r="35">
          <cell r="I35">
            <v>281745</v>
          </cell>
        </row>
        <row r="36">
          <cell r="I36">
            <v>411480</v>
          </cell>
        </row>
        <row r="37">
          <cell r="I37">
            <v>598987</v>
          </cell>
        </row>
        <row r="38">
          <cell r="I38">
            <v>234989</v>
          </cell>
        </row>
        <row r="39">
          <cell r="I39">
            <v>2353920</v>
          </cell>
        </row>
        <row r="42">
          <cell r="I42">
            <v>13539553</v>
          </cell>
        </row>
        <row r="43">
          <cell r="I43">
            <v>1184308</v>
          </cell>
        </row>
        <row r="44">
          <cell r="I44">
            <v>391943</v>
          </cell>
        </row>
        <row r="46">
          <cell r="J46">
            <v>1311654</v>
          </cell>
        </row>
        <row r="49">
          <cell r="I49">
            <v>4871591</v>
          </cell>
        </row>
        <row r="50">
          <cell r="I50">
            <v>336965</v>
          </cell>
        </row>
        <row r="51">
          <cell r="I51">
            <v>7168295</v>
          </cell>
        </row>
        <row r="53">
          <cell r="J53">
            <v>3246092</v>
          </cell>
        </row>
        <row r="56">
          <cell r="I56">
            <v>11250052</v>
          </cell>
        </row>
        <row r="57">
          <cell r="I57">
            <v>487</v>
          </cell>
        </row>
        <row r="58">
          <cell r="I58">
            <v>14251752</v>
          </cell>
        </row>
        <row r="59">
          <cell r="I59">
            <v>8791863</v>
          </cell>
        </row>
        <row r="61">
          <cell r="J61">
            <v>25099278</v>
          </cell>
        </row>
        <row r="63">
          <cell r="J63">
            <v>44189667</v>
          </cell>
        </row>
        <row r="65">
          <cell r="J65">
            <v>491532</v>
          </cell>
        </row>
        <row r="67">
          <cell r="J67">
            <v>17148951</v>
          </cell>
        </row>
        <row r="73">
          <cell r="J73">
            <v>84456186</v>
          </cell>
        </row>
        <row r="77">
          <cell r="J77">
            <v>7045530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May09loa"/>
    </sheetNames>
    <sheetDataSet>
      <sheetData sheetId="0">
        <row r="10">
          <cell r="I10">
            <v>3398535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Jun09loa"/>
    </sheetNames>
    <sheetDataSet>
      <sheetData sheetId="0">
        <row r="19">
          <cell r="I19">
            <v>320523</v>
          </cell>
        </row>
        <row r="23">
          <cell r="I23">
            <v>398</v>
          </cell>
        </row>
        <row r="25">
          <cell r="J25">
            <v>558886</v>
          </cell>
        </row>
        <row r="30">
          <cell r="I30">
            <v>1318504</v>
          </cell>
        </row>
        <row r="31">
          <cell r="I31">
            <v>3791987</v>
          </cell>
        </row>
        <row r="32">
          <cell r="I32">
            <v>253</v>
          </cell>
        </row>
        <row r="33">
          <cell r="I33">
            <v>105970</v>
          </cell>
        </row>
        <row r="34">
          <cell r="I34">
            <v>122071</v>
          </cell>
        </row>
        <row r="35">
          <cell r="I35">
            <v>307144</v>
          </cell>
        </row>
        <row r="36">
          <cell r="I36">
            <v>418899</v>
          </cell>
        </row>
        <row r="37">
          <cell r="I37">
            <v>747232</v>
          </cell>
        </row>
        <row r="38">
          <cell r="I38">
            <v>248517</v>
          </cell>
        </row>
        <row r="39">
          <cell r="I39">
            <v>2338267</v>
          </cell>
        </row>
        <row r="42">
          <cell r="I42">
            <v>13881966</v>
          </cell>
        </row>
        <row r="43">
          <cell r="I43">
            <v>1142495</v>
          </cell>
        </row>
        <row r="44">
          <cell r="I44">
            <v>308579</v>
          </cell>
        </row>
        <row r="46">
          <cell r="J46">
            <v>1143331</v>
          </cell>
        </row>
        <row r="49">
          <cell r="I49">
            <v>4782910</v>
          </cell>
        </row>
        <row r="50">
          <cell r="I50">
            <v>329103</v>
          </cell>
        </row>
        <row r="51">
          <cell r="I51">
            <v>7118363</v>
          </cell>
        </row>
        <row r="53">
          <cell r="J53">
            <v>3486558</v>
          </cell>
        </row>
        <row r="56">
          <cell r="I56">
            <v>14147453</v>
          </cell>
        </row>
        <row r="57">
          <cell r="I57">
            <v>406</v>
          </cell>
        </row>
        <row r="58">
          <cell r="I58">
            <v>15384333</v>
          </cell>
        </row>
        <row r="59">
          <cell r="I59">
            <v>5446926</v>
          </cell>
        </row>
        <row r="61">
          <cell r="J61">
            <v>25406391</v>
          </cell>
        </row>
        <row r="63">
          <cell r="J63">
            <v>43645896</v>
          </cell>
        </row>
        <row r="65">
          <cell r="J65">
            <v>490621</v>
          </cell>
        </row>
        <row r="67">
          <cell r="J67">
            <v>17334047</v>
          </cell>
        </row>
        <row r="73">
          <cell r="J73">
            <v>83638681</v>
          </cell>
        </row>
        <row r="77">
          <cell r="J77">
            <v>7042663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Jul09loa"/>
    </sheetNames>
    <sheetDataSet>
      <sheetData sheetId="0">
        <row r="19">
          <cell r="I19">
            <v>224810</v>
          </cell>
        </row>
        <row r="23">
          <cell r="I23">
            <v>558</v>
          </cell>
        </row>
        <row r="25">
          <cell r="J25">
            <v>1087683</v>
          </cell>
        </row>
        <row r="30">
          <cell r="I30">
            <v>1224798</v>
          </cell>
        </row>
        <row r="31">
          <cell r="I31">
            <v>2832729</v>
          </cell>
        </row>
        <row r="32">
          <cell r="I32">
            <v>15</v>
          </cell>
        </row>
        <row r="33">
          <cell r="I33">
            <v>108015</v>
          </cell>
        </row>
        <row r="34">
          <cell r="I34">
            <v>162737</v>
          </cell>
        </row>
        <row r="35">
          <cell r="I35">
            <v>309480</v>
          </cell>
        </row>
        <row r="36">
          <cell r="I36">
            <v>400763</v>
          </cell>
        </row>
        <row r="37">
          <cell r="I37">
            <v>753837</v>
          </cell>
        </row>
        <row r="38">
          <cell r="I38">
            <v>220286</v>
          </cell>
        </row>
        <row r="39">
          <cell r="I39">
            <v>2587920</v>
          </cell>
        </row>
        <row r="42">
          <cell r="I42">
            <v>17723896</v>
          </cell>
        </row>
        <row r="43">
          <cell r="I43">
            <v>1137073</v>
          </cell>
        </row>
        <row r="44">
          <cell r="I44">
            <v>308449</v>
          </cell>
        </row>
        <row r="46">
          <cell r="J46">
            <v>1129456</v>
          </cell>
        </row>
        <row r="49">
          <cell r="I49">
            <v>5741980</v>
          </cell>
        </row>
        <row r="50">
          <cell r="I50">
            <v>331943</v>
          </cell>
        </row>
        <row r="51">
          <cell r="I51">
            <v>7057525</v>
          </cell>
        </row>
        <row r="53">
          <cell r="J53">
            <v>3233931</v>
          </cell>
        </row>
        <row r="56">
          <cell r="I56">
            <v>13689732</v>
          </cell>
        </row>
        <row r="57">
          <cell r="I57">
            <v>2214</v>
          </cell>
        </row>
        <row r="58">
          <cell r="I58">
            <v>15596155</v>
          </cell>
        </row>
        <row r="59">
          <cell r="I59">
            <v>5178162</v>
          </cell>
        </row>
        <row r="61">
          <cell r="J61">
            <v>24896364</v>
          </cell>
        </row>
        <row r="63">
          <cell r="J63">
            <v>41429983</v>
          </cell>
        </row>
        <row r="65">
          <cell r="J65">
            <v>504976</v>
          </cell>
        </row>
        <row r="67">
          <cell r="J67">
            <v>16777177</v>
          </cell>
        </row>
        <row r="73">
          <cell r="J73">
            <v>82695897</v>
          </cell>
        </row>
        <row r="77">
          <cell r="J77">
            <v>7041118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Sep09loa"/>
    </sheetNames>
    <sheetDataSet>
      <sheetData sheetId="0">
        <row r="10">
          <cell r="I10">
            <v>4083452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Oct09loa"/>
    </sheetNames>
    <sheetDataSet>
      <sheetData sheetId="0">
        <row r="10">
          <cell r="I10">
            <v>4094685</v>
          </cell>
        </row>
        <row r="19">
          <cell r="I19">
            <v>122079</v>
          </cell>
        </row>
        <row r="23">
          <cell r="I23">
            <v>398</v>
          </cell>
        </row>
        <row r="25">
          <cell r="J25">
            <v>781504</v>
          </cell>
        </row>
        <row r="30">
          <cell r="I30">
            <v>308222</v>
          </cell>
        </row>
        <row r="31">
          <cell r="I31">
            <v>2657592</v>
          </cell>
        </row>
        <row r="32">
          <cell r="I32">
            <v>0</v>
          </cell>
        </row>
        <row r="33">
          <cell r="I33">
            <v>99428</v>
          </cell>
        </row>
        <row r="34">
          <cell r="I34">
            <v>143679</v>
          </cell>
        </row>
        <row r="35">
          <cell r="I35">
            <v>345999</v>
          </cell>
        </row>
        <row r="36">
          <cell r="I36">
            <v>282524</v>
          </cell>
        </row>
        <row r="37">
          <cell r="I37">
            <v>745056</v>
          </cell>
        </row>
        <row r="38">
          <cell r="I38">
            <v>1394289</v>
          </cell>
        </row>
        <row r="39">
          <cell r="I39">
            <v>2665445</v>
          </cell>
        </row>
        <row r="42">
          <cell r="I42">
            <v>19231625</v>
          </cell>
        </row>
        <row r="43">
          <cell r="I43">
            <v>1077858</v>
          </cell>
        </row>
        <row r="44">
          <cell r="I44">
            <v>244759</v>
          </cell>
        </row>
        <row r="46">
          <cell r="J46">
            <v>622753</v>
          </cell>
        </row>
        <row r="49">
          <cell r="I49">
            <v>4668598</v>
          </cell>
        </row>
        <row r="50">
          <cell r="I50">
            <v>325403</v>
          </cell>
        </row>
        <row r="51">
          <cell r="I51">
            <v>6822166</v>
          </cell>
        </row>
        <row r="53">
          <cell r="J53">
            <v>4243362</v>
          </cell>
        </row>
        <row r="56">
          <cell r="I56">
            <v>12747886</v>
          </cell>
        </row>
        <row r="57">
          <cell r="I57">
            <v>4979</v>
          </cell>
        </row>
        <row r="58">
          <cell r="I58">
            <v>18636273</v>
          </cell>
        </row>
        <row r="59">
          <cell r="I59">
            <v>1300117</v>
          </cell>
        </row>
        <row r="61">
          <cell r="J61">
            <v>23946342</v>
          </cell>
        </row>
        <row r="63">
          <cell r="J63">
            <v>40194987</v>
          </cell>
        </row>
        <row r="65">
          <cell r="J65">
            <v>506800</v>
          </cell>
        </row>
        <row r="67">
          <cell r="J67">
            <v>16951151</v>
          </cell>
        </row>
        <row r="73">
          <cell r="J73">
            <v>83280763</v>
          </cell>
        </row>
        <row r="77">
          <cell r="J77">
            <v>7042401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c10loa"/>
    </sheetNames>
    <sheetDataSet>
      <sheetData sheetId="0">
        <row r="10">
          <cell r="I10">
            <v>4352404</v>
          </cell>
        </row>
        <row r="19">
          <cell r="I19">
            <v>165005</v>
          </cell>
        </row>
        <row r="23">
          <cell r="I23">
            <v>2116</v>
          </cell>
        </row>
        <row r="25">
          <cell r="J25">
            <v>426384</v>
          </cell>
        </row>
        <row r="30">
          <cell r="I30">
            <v>112238</v>
          </cell>
        </row>
        <row r="31">
          <cell r="I31">
            <v>1912513</v>
          </cell>
        </row>
        <row r="32">
          <cell r="I32">
            <v>0</v>
          </cell>
        </row>
        <row r="33">
          <cell r="I33">
            <v>128022</v>
          </cell>
        </row>
        <row r="34">
          <cell r="I34">
            <v>134235</v>
          </cell>
        </row>
        <row r="35">
          <cell r="I35">
            <v>648167</v>
          </cell>
        </row>
        <row r="36">
          <cell r="I36">
            <v>379154</v>
          </cell>
        </row>
        <row r="37">
          <cell r="I37">
            <v>1087646</v>
          </cell>
        </row>
        <row r="38">
          <cell r="I38">
            <v>648803</v>
          </cell>
        </row>
        <row r="39">
          <cell r="I39">
            <v>3245322</v>
          </cell>
        </row>
        <row r="42">
          <cell r="I42">
            <v>21139999</v>
          </cell>
        </row>
        <row r="43">
          <cell r="I43">
            <v>545299</v>
          </cell>
        </row>
        <row r="44">
          <cell r="I44">
            <v>277255</v>
          </cell>
        </row>
        <row r="46">
          <cell r="J46">
            <v>944145</v>
          </cell>
        </row>
        <row r="49">
          <cell r="I49">
            <v>4807732</v>
          </cell>
        </row>
        <row r="50">
          <cell r="I50">
            <v>287475</v>
          </cell>
        </row>
        <row r="51">
          <cell r="I51">
            <v>3898053</v>
          </cell>
        </row>
        <row r="53">
          <cell r="J53">
            <v>4590927</v>
          </cell>
        </row>
        <row r="56">
          <cell r="I56">
            <v>11044879</v>
          </cell>
        </row>
        <row r="57">
          <cell r="I57">
            <v>1477</v>
          </cell>
        </row>
        <row r="58">
          <cell r="I58">
            <v>15086881</v>
          </cell>
        </row>
        <row r="59">
          <cell r="I59">
            <v>4005030</v>
          </cell>
        </row>
        <row r="61">
          <cell r="J61">
            <v>27901072</v>
          </cell>
        </row>
        <row r="63">
          <cell r="J63">
            <v>31153520</v>
          </cell>
        </row>
        <row r="65">
          <cell r="J65">
            <v>448362</v>
          </cell>
        </row>
        <row r="67">
          <cell r="J67">
            <v>17326334</v>
          </cell>
        </row>
        <row r="73">
          <cell r="J73">
            <v>87881669</v>
          </cell>
        </row>
        <row r="77">
          <cell r="J77">
            <v>6758515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Nov09loa"/>
    </sheetNames>
    <sheetDataSet>
      <sheetData sheetId="0">
        <row r="10">
          <cell r="I10">
            <v>3961054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Dec09loa"/>
    </sheetNames>
    <sheetDataSet>
      <sheetData sheetId="0">
        <row r="10">
          <cell r="I10">
            <v>5735289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841574</v>
          </cell>
        </row>
        <row r="5">
          <cell r="L5">
            <v>13</v>
          </cell>
        </row>
        <row r="6">
          <cell r="L6">
            <v>545024</v>
          </cell>
        </row>
        <row r="7">
          <cell r="L7">
            <v>18232900</v>
          </cell>
        </row>
        <row r="8">
          <cell r="L8">
            <v>7826050</v>
          </cell>
        </row>
        <row r="9">
          <cell r="L9">
            <v>3750862</v>
          </cell>
        </row>
        <row r="10">
          <cell r="L10">
            <v>157457</v>
          </cell>
        </row>
        <row r="11">
          <cell r="L11">
            <v>1784686</v>
          </cell>
        </row>
        <row r="12">
          <cell r="L12">
            <v>0</v>
          </cell>
        </row>
        <row r="13">
          <cell r="L13">
            <v>817</v>
          </cell>
        </row>
        <row r="14">
          <cell r="L14">
            <v>51850</v>
          </cell>
        </row>
        <row r="15">
          <cell r="L15">
            <v>6838446</v>
          </cell>
        </row>
        <row r="16">
          <cell r="L16">
            <v>1103785</v>
          </cell>
        </row>
        <row r="17">
          <cell r="L17">
            <v>589198</v>
          </cell>
        </row>
        <row r="18">
          <cell r="L18">
            <v>350104</v>
          </cell>
        </row>
        <row r="19">
          <cell r="L19">
            <v>4144147</v>
          </cell>
        </row>
        <row r="20">
          <cell r="L20">
            <v>1716695</v>
          </cell>
        </row>
        <row r="21">
          <cell r="L21">
            <v>11557050</v>
          </cell>
        </row>
        <row r="22">
          <cell r="L22">
            <v>498521</v>
          </cell>
        </row>
        <row r="23">
          <cell r="L23">
            <v>3761096</v>
          </cell>
        </row>
        <row r="24">
          <cell r="L24">
            <v>938541</v>
          </cell>
        </row>
        <row r="25">
          <cell r="L25">
            <v>161721</v>
          </cell>
        </row>
        <row r="26">
          <cell r="L26">
            <v>412046</v>
          </cell>
        </row>
        <row r="27">
          <cell r="L27">
            <v>9119697</v>
          </cell>
        </row>
        <row r="28">
          <cell r="L28">
            <v>4348800</v>
          </cell>
        </row>
        <row r="29">
          <cell r="L29">
            <v>18188</v>
          </cell>
        </row>
        <row r="30">
          <cell r="L30">
            <v>965223</v>
          </cell>
        </row>
        <row r="31">
          <cell r="L31">
            <v>2044816</v>
          </cell>
        </row>
        <row r="32">
          <cell r="L32">
            <v>33129071</v>
          </cell>
        </row>
        <row r="33">
          <cell r="L33">
            <v>1575750</v>
          </cell>
        </row>
        <row r="34">
          <cell r="L34">
            <v>2179288</v>
          </cell>
        </row>
        <row r="35">
          <cell r="L35">
            <v>293933</v>
          </cell>
        </row>
        <row r="36">
          <cell r="L36">
            <v>10871554</v>
          </cell>
        </row>
        <row r="37">
          <cell r="L37">
            <v>32798834</v>
          </cell>
        </row>
        <row r="38">
          <cell r="L38">
            <v>66893103</v>
          </cell>
        </row>
        <row r="39">
          <cell r="L39">
            <v>2123446</v>
          </cell>
        </row>
        <row r="40">
          <cell r="L40">
            <v>514976</v>
          </cell>
        </row>
        <row r="41">
          <cell r="L41">
            <v>29043135</v>
          </cell>
        </row>
        <row r="42">
          <cell r="L42">
            <v>9667903</v>
          </cell>
        </row>
        <row r="43">
          <cell r="L43">
            <v>7995767</v>
          </cell>
        </row>
        <row r="44">
          <cell r="L44">
            <v>360573722</v>
          </cell>
        </row>
        <row r="45">
          <cell r="L45">
            <v>503863</v>
          </cell>
        </row>
        <row r="46">
          <cell r="L46">
            <v>51573669</v>
          </cell>
        </row>
      </sheetData>
      <sheetData sheetId="6">
        <row r="23">
          <cell r="C23">
            <v>44381606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939607</v>
          </cell>
        </row>
        <row r="5">
          <cell r="L5">
            <v>0</v>
          </cell>
        </row>
        <row r="6">
          <cell r="L6">
            <v>528959</v>
          </cell>
        </row>
        <row r="7">
          <cell r="L7">
            <v>16035564</v>
          </cell>
        </row>
        <row r="8">
          <cell r="L8">
            <v>11007822</v>
          </cell>
        </row>
        <row r="9">
          <cell r="L9">
            <v>4195990</v>
          </cell>
        </row>
        <row r="10">
          <cell r="L10">
            <v>174209</v>
          </cell>
        </row>
        <row r="11">
          <cell r="L11">
            <v>1746059</v>
          </cell>
        </row>
        <row r="12">
          <cell r="L12">
            <v>0</v>
          </cell>
        </row>
        <row r="13">
          <cell r="L13">
            <v>175</v>
          </cell>
        </row>
        <row r="14">
          <cell r="L14">
            <v>42978</v>
          </cell>
        </row>
        <row r="15">
          <cell r="L15">
            <v>6817231</v>
          </cell>
        </row>
        <row r="16">
          <cell r="L16">
            <v>1099357</v>
          </cell>
        </row>
        <row r="17">
          <cell r="L17">
            <v>584664</v>
          </cell>
        </row>
        <row r="18">
          <cell r="L18">
            <v>349938</v>
          </cell>
        </row>
        <row r="19">
          <cell r="L19">
            <v>3817138</v>
          </cell>
        </row>
        <row r="20">
          <cell r="L20">
            <v>1699358</v>
          </cell>
        </row>
        <row r="21">
          <cell r="L21">
            <v>11655353</v>
          </cell>
        </row>
        <row r="22">
          <cell r="L22">
            <v>501690</v>
          </cell>
        </row>
        <row r="23">
          <cell r="L23">
            <v>3684711</v>
          </cell>
        </row>
        <row r="24">
          <cell r="L24">
            <v>1017593</v>
          </cell>
        </row>
        <row r="25">
          <cell r="L25">
            <v>116394</v>
          </cell>
        </row>
        <row r="26">
          <cell r="L26">
            <v>415947</v>
          </cell>
        </row>
        <row r="27">
          <cell r="L27">
            <v>8812417</v>
          </cell>
        </row>
        <row r="28">
          <cell r="L28">
            <v>4233341</v>
          </cell>
        </row>
        <row r="29">
          <cell r="L29">
            <v>15524</v>
          </cell>
        </row>
        <row r="30">
          <cell r="L30">
            <v>901017</v>
          </cell>
        </row>
        <row r="31">
          <cell r="L31">
            <v>2301265</v>
          </cell>
        </row>
        <row r="32">
          <cell r="L32">
            <v>32816155</v>
          </cell>
        </row>
        <row r="33">
          <cell r="L33">
            <v>1565297</v>
          </cell>
        </row>
        <row r="34">
          <cell r="L34">
            <v>2274817</v>
          </cell>
        </row>
        <row r="35">
          <cell r="L35">
            <v>281777</v>
          </cell>
        </row>
        <row r="36">
          <cell r="L36">
            <v>10649347</v>
          </cell>
        </row>
        <row r="37">
          <cell r="L37">
            <v>32076139</v>
          </cell>
        </row>
        <row r="38">
          <cell r="L38">
            <v>68042615</v>
          </cell>
        </row>
        <row r="39">
          <cell r="L39">
            <v>2135298</v>
          </cell>
        </row>
        <row r="40">
          <cell r="L40">
            <v>545180</v>
          </cell>
        </row>
        <row r="41">
          <cell r="L41">
            <v>29405535</v>
          </cell>
        </row>
        <row r="42">
          <cell r="L42">
            <v>9172877</v>
          </cell>
        </row>
        <row r="43">
          <cell r="L43">
            <v>7793668</v>
          </cell>
        </row>
        <row r="44">
          <cell r="L44">
            <v>364450079</v>
          </cell>
        </row>
        <row r="45">
          <cell r="L45">
            <v>476948</v>
          </cell>
        </row>
        <row r="46">
          <cell r="L46">
            <v>51827525</v>
          </cell>
        </row>
      </sheetData>
      <sheetData sheetId="6">
        <row r="23">
          <cell r="C23">
            <v>47036197</v>
          </cell>
        </row>
      </sheetData>
    </sheetDataSet>
  </externalBook>
</externalLink>
</file>

<file path=xl/externalLinks/externalLink154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946376</v>
          </cell>
        </row>
        <row r="5">
          <cell r="L5">
            <v>0</v>
          </cell>
        </row>
        <row r="6">
          <cell r="L6">
            <v>550715</v>
          </cell>
        </row>
        <row r="7">
          <cell r="L7">
            <v>15766360</v>
          </cell>
        </row>
        <row r="8">
          <cell r="L8">
            <v>10927626</v>
          </cell>
        </row>
        <row r="9">
          <cell r="L9">
            <v>4193609</v>
          </cell>
        </row>
        <row r="10">
          <cell r="L10">
            <v>183815</v>
          </cell>
        </row>
        <row r="11">
          <cell r="L11">
            <v>1779130</v>
          </cell>
        </row>
        <row r="12">
          <cell r="L12">
            <v>0</v>
          </cell>
        </row>
        <row r="13">
          <cell r="L13">
            <v>462</v>
          </cell>
        </row>
        <row r="14">
          <cell r="L14">
            <v>51973</v>
          </cell>
        </row>
        <row r="15">
          <cell r="L15">
            <v>6705123</v>
          </cell>
        </row>
        <row r="16">
          <cell r="L16">
            <v>1068636</v>
          </cell>
        </row>
        <row r="17">
          <cell r="L17">
            <v>599261</v>
          </cell>
        </row>
        <row r="18">
          <cell r="L18">
            <v>446801</v>
          </cell>
        </row>
        <row r="19">
          <cell r="L19">
            <v>4256060</v>
          </cell>
        </row>
        <row r="20">
          <cell r="L20">
            <v>1701185</v>
          </cell>
        </row>
        <row r="21">
          <cell r="L21">
            <v>11660428</v>
          </cell>
        </row>
        <row r="22">
          <cell r="L22">
            <v>538753</v>
          </cell>
        </row>
        <row r="23">
          <cell r="L23">
            <v>3910464</v>
          </cell>
        </row>
        <row r="24">
          <cell r="L24">
            <v>1025146</v>
          </cell>
        </row>
        <row r="25">
          <cell r="L25">
            <v>114459</v>
          </cell>
        </row>
        <row r="26">
          <cell r="L26">
            <v>419104</v>
          </cell>
        </row>
        <row r="27">
          <cell r="L27">
            <v>9209363</v>
          </cell>
        </row>
        <row r="28">
          <cell r="L28">
            <v>4494344</v>
          </cell>
        </row>
        <row r="29">
          <cell r="L29">
            <v>12913</v>
          </cell>
        </row>
        <row r="30">
          <cell r="L30">
            <v>889854</v>
          </cell>
        </row>
        <row r="31">
          <cell r="L31">
            <v>2427774</v>
          </cell>
        </row>
        <row r="32">
          <cell r="L32">
            <v>33878148</v>
          </cell>
        </row>
        <row r="33">
          <cell r="L33">
            <v>1542494</v>
          </cell>
        </row>
        <row r="34">
          <cell r="L34">
            <v>2334431</v>
          </cell>
        </row>
        <row r="35">
          <cell r="L35">
            <v>321776</v>
          </cell>
        </row>
        <row r="36">
          <cell r="L36">
            <v>11216414</v>
          </cell>
        </row>
        <row r="37">
          <cell r="L37">
            <v>33782954</v>
          </cell>
        </row>
        <row r="38">
          <cell r="L38">
            <v>67515194</v>
          </cell>
        </row>
        <row r="39">
          <cell r="L39">
            <v>2146230</v>
          </cell>
        </row>
        <row r="40">
          <cell r="L40">
            <v>532106</v>
          </cell>
        </row>
        <row r="41">
          <cell r="L41">
            <v>31885193</v>
          </cell>
        </row>
        <row r="42">
          <cell r="L42">
            <v>10382113</v>
          </cell>
        </row>
        <row r="43">
          <cell r="L43">
            <v>8568859</v>
          </cell>
        </row>
        <row r="44">
          <cell r="L44">
            <v>369169699</v>
          </cell>
        </row>
        <row r="45">
          <cell r="L45">
            <v>497165</v>
          </cell>
        </row>
        <row r="46">
          <cell r="L46">
            <v>54719462</v>
          </cell>
        </row>
      </sheetData>
      <sheetData sheetId="6">
        <row r="23">
          <cell r="C23">
            <v>49784936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1332953</v>
          </cell>
        </row>
        <row r="5">
          <cell r="L5">
            <v>0</v>
          </cell>
        </row>
        <row r="6">
          <cell r="L6">
            <v>207174</v>
          </cell>
        </row>
        <row r="7">
          <cell r="L7">
            <v>17215016</v>
          </cell>
        </row>
        <row r="8">
          <cell r="L8">
            <v>8202356</v>
          </cell>
        </row>
        <row r="9">
          <cell r="L9">
            <v>4193688</v>
          </cell>
        </row>
        <row r="10">
          <cell r="L10">
            <v>179976</v>
          </cell>
        </row>
        <row r="11">
          <cell r="L11">
            <v>1780906</v>
          </cell>
        </row>
        <row r="12">
          <cell r="L12">
            <v>0</v>
          </cell>
        </row>
        <row r="13">
          <cell r="L13">
            <v>685</v>
          </cell>
        </row>
        <row r="14">
          <cell r="L14">
            <v>50553</v>
          </cell>
        </row>
        <row r="15">
          <cell r="L15">
            <v>6673435</v>
          </cell>
        </row>
        <row r="16">
          <cell r="L16">
            <v>32733</v>
          </cell>
        </row>
        <row r="17">
          <cell r="L17">
            <v>601611</v>
          </cell>
        </row>
        <row r="18">
          <cell r="L18">
            <v>309478</v>
          </cell>
        </row>
        <row r="19">
          <cell r="L19">
            <v>3258727</v>
          </cell>
        </row>
        <row r="20">
          <cell r="L20">
            <v>1671893</v>
          </cell>
        </row>
        <row r="21">
          <cell r="L21">
            <v>11922958</v>
          </cell>
        </row>
        <row r="22">
          <cell r="L22">
            <v>553291</v>
          </cell>
        </row>
        <row r="23">
          <cell r="L23">
            <v>3878521</v>
          </cell>
        </row>
        <row r="24">
          <cell r="L24">
            <v>1026546</v>
          </cell>
        </row>
        <row r="25">
          <cell r="L25">
            <v>593587</v>
          </cell>
        </row>
        <row r="26">
          <cell r="L26">
            <v>419068</v>
          </cell>
        </row>
        <row r="27">
          <cell r="L27">
            <v>9338418</v>
          </cell>
        </row>
        <row r="28">
          <cell r="L28">
            <v>4443192</v>
          </cell>
        </row>
        <row r="29">
          <cell r="L29">
            <v>10370</v>
          </cell>
        </row>
        <row r="30">
          <cell r="L30">
            <v>887958</v>
          </cell>
        </row>
        <row r="31">
          <cell r="L31">
            <v>2614352</v>
          </cell>
        </row>
        <row r="32">
          <cell r="L32">
            <v>35114693</v>
          </cell>
        </row>
        <row r="33">
          <cell r="L33">
            <v>1526399</v>
          </cell>
        </row>
        <row r="34">
          <cell r="L34">
            <v>2259656</v>
          </cell>
        </row>
        <row r="35">
          <cell r="L35">
            <v>342364</v>
          </cell>
        </row>
        <row r="36">
          <cell r="L36">
            <v>11055118</v>
          </cell>
        </row>
        <row r="37">
          <cell r="L37">
            <v>33786273</v>
          </cell>
        </row>
        <row r="38">
          <cell r="L38">
            <v>68306757</v>
          </cell>
        </row>
        <row r="39">
          <cell r="L39">
            <v>2093912</v>
          </cell>
        </row>
        <row r="40">
          <cell r="L40">
            <v>712166</v>
          </cell>
        </row>
        <row r="41">
          <cell r="L41">
            <v>29943494</v>
          </cell>
        </row>
        <row r="42">
          <cell r="L42">
            <v>11762837</v>
          </cell>
        </row>
        <row r="43">
          <cell r="L43">
            <v>9155318</v>
          </cell>
        </row>
        <row r="44">
          <cell r="L44">
            <v>381177651</v>
          </cell>
        </row>
        <row r="45">
          <cell r="L45">
            <v>504077</v>
          </cell>
        </row>
        <row r="46">
          <cell r="L46">
            <v>53733401</v>
          </cell>
        </row>
      </sheetData>
      <sheetData sheetId="6">
        <row r="23">
          <cell r="C23">
            <v>50354750</v>
          </cell>
        </row>
      </sheetData>
    </sheetDataSet>
  </externalBook>
</externalLink>
</file>

<file path=xl/externalLinks/externalLink156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1519192</v>
          </cell>
        </row>
        <row r="5">
          <cell r="L5">
            <v>0</v>
          </cell>
        </row>
        <row r="6">
          <cell r="L6">
            <v>229436</v>
          </cell>
        </row>
        <row r="7">
          <cell r="L7">
            <v>15580414</v>
          </cell>
        </row>
        <row r="8">
          <cell r="L8">
            <v>10914373</v>
          </cell>
        </row>
        <row r="9">
          <cell r="L9">
            <v>4344157</v>
          </cell>
        </row>
        <row r="10">
          <cell r="L10">
            <v>186797</v>
          </cell>
        </row>
        <row r="11">
          <cell r="L11">
            <v>1745372</v>
          </cell>
        </row>
        <row r="12">
          <cell r="L12">
            <v>0</v>
          </cell>
        </row>
        <row r="13">
          <cell r="L13">
            <v>34</v>
          </cell>
        </row>
        <row r="14">
          <cell r="L14">
            <v>50098</v>
          </cell>
        </row>
        <row r="15">
          <cell r="L15">
            <v>6661541</v>
          </cell>
        </row>
        <row r="16">
          <cell r="L16">
            <v>31066</v>
          </cell>
        </row>
        <row r="17">
          <cell r="L17">
            <v>603142</v>
          </cell>
        </row>
        <row r="18">
          <cell r="L18">
            <v>266424</v>
          </cell>
        </row>
        <row r="19">
          <cell r="L19">
            <v>1332889</v>
          </cell>
        </row>
        <row r="20">
          <cell r="L20">
            <v>1653305</v>
          </cell>
        </row>
        <row r="21">
          <cell r="L21">
            <v>11971506</v>
          </cell>
        </row>
        <row r="22">
          <cell r="L22">
            <v>582951</v>
          </cell>
        </row>
        <row r="23">
          <cell r="L23">
            <v>3868522</v>
          </cell>
        </row>
        <row r="24">
          <cell r="L24">
            <v>1010938</v>
          </cell>
        </row>
        <row r="25">
          <cell r="L25">
            <v>601767</v>
          </cell>
        </row>
        <row r="26">
          <cell r="L26">
            <v>423259</v>
          </cell>
        </row>
        <row r="27">
          <cell r="L27">
            <v>9411792</v>
          </cell>
        </row>
        <row r="28">
          <cell r="L28">
            <v>4389899</v>
          </cell>
        </row>
        <row r="29">
          <cell r="L29">
            <v>7809</v>
          </cell>
        </row>
        <row r="30">
          <cell r="L30">
            <v>871839</v>
          </cell>
        </row>
        <row r="31">
          <cell r="L31">
            <v>2651883</v>
          </cell>
        </row>
        <row r="32">
          <cell r="L32">
            <v>35548750</v>
          </cell>
        </row>
        <row r="33">
          <cell r="L33">
            <v>1521056</v>
          </cell>
        </row>
        <row r="34">
          <cell r="L34">
            <v>2240132</v>
          </cell>
        </row>
        <row r="35">
          <cell r="L35">
            <v>306746</v>
          </cell>
        </row>
        <row r="36">
          <cell r="L36">
            <v>11073660</v>
          </cell>
        </row>
        <row r="37">
          <cell r="L37">
            <v>33183043</v>
          </cell>
        </row>
        <row r="38">
          <cell r="L38">
            <v>71417940</v>
          </cell>
        </row>
        <row r="39">
          <cell r="L39">
            <v>2277250</v>
          </cell>
        </row>
        <row r="40">
          <cell r="L40">
            <v>709342</v>
          </cell>
        </row>
        <row r="41">
          <cell r="L41">
            <v>34488657</v>
          </cell>
        </row>
        <row r="42">
          <cell r="L42">
            <v>10205348</v>
          </cell>
        </row>
        <row r="43">
          <cell r="L43">
            <v>8063794</v>
          </cell>
        </row>
        <row r="44">
          <cell r="L44">
            <v>380961652</v>
          </cell>
        </row>
        <row r="45">
          <cell r="L45">
            <v>502988</v>
          </cell>
        </row>
        <row r="46">
          <cell r="L46">
            <v>52888596</v>
          </cell>
        </row>
      </sheetData>
      <sheetData sheetId="6">
        <row r="23">
          <cell r="C23">
            <v>51139612</v>
          </cell>
        </row>
      </sheetData>
    </sheetDataSet>
  </externalBook>
</externalLink>
</file>

<file path=xl/externalLinks/externalLink157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1387260</v>
          </cell>
        </row>
        <row r="5">
          <cell r="L5">
            <v>0</v>
          </cell>
        </row>
        <row r="6">
          <cell r="L6">
            <v>208910</v>
          </cell>
        </row>
        <row r="7">
          <cell r="L7">
            <v>15119799</v>
          </cell>
        </row>
        <row r="8">
          <cell r="L8">
            <v>11780921</v>
          </cell>
        </row>
        <row r="9">
          <cell r="L9">
            <v>4338887</v>
          </cell>
        </row>
        <row r="10">
          <cell r="L10">
            <v>172176</v>
          </cell>
        </row>
        <row r="11">
          <cell r="L11">
            <v>1767442</v>
          </cell>
        </row>
        <row r="12">
          <cell r="L12">
            <v>0</v>
          </cell>
        </row>
        <row r="13">
          <cell r="L13">
            <v>631</v>
          </cell>
        </row>
        <row r="14">
          <cell r="L14">
            <v>51209</v>
          </cell>
        </row>
        <row r="15">
          <cell r="L15">
            <v>6521895</v>
          </cell>
        </row>
        <row r="16">
          <cell r="L16">
            <v>29995</v>
          </cell>
        </row>
        <row r="17">
          <cell r="L17">
            <v>612493</v>
          </cell>
        </row>
        <row r="18">
          <cell r="L18">
            <v>250510</v>
          </cell>
        </row>
        <row r="19">
          <cell r="L19">
            <v>1367320</v>
          </cell>
        </row>
        <row r="20">
          <cell r="L20">
            <v>1650173</v>
          </cell>
        </row>
        <row r="21">
          <cell r="L21">
            <v>11719182</v>
          </cell>
        </row>
        <row r="22">
          <cell r="L22">
            <v>557512</v>
          </cell>
        </row>
        <row r="23">
          <cell r="L23">
            <v>3732209</v>
          </cell>
        </row>
        <row r="24">
          <cell r="L24">
            <v>1046672</v>
          </cell>
        </row>
        <row r="25">
          <cell r="L25">
            <v>581230</v>
          </cell>
        </row>
        <row r="26">
          <cell r="L26">
            <v>413131</v>
          </cell>
        </row>
        <row r="27">
          <cell r="L27">
            <v>9037922</v>
          </cell>
        </row>
        <row r="28">
          <cell r="L28">
            <v>4493648</v>
          </cell>
        </row>
        <row r="29">
          <cell r="L29">
            <v>5233</v>
          </cell>
        </row>
        <row r="30">
          <cell r="L30">
            <v>850355</v>
          </cell>
        </row>
        <row r="31">
          <cell r="L31">
            <v>3056268</v>
          </cell>
        </row>
        <row r="32">
          <cell r="L32">
            <v>35777676</v>
          </cell>
        </row>
        <row r="33">
          <cell r="L33">
            <v>1486274</v>
          </cell>
        </row>
        <row r="34">
          <cell r="L34">
            <v>2258375</v>
          </cell>
        </row>
        <row r="35">
          <cell r="L35">
            <v>378849</v>
          </cell>
        </row>
        <row r="36">
          <cell r="L36">
            <v>11609449</v>
          </cell>
        </row>
        <row r="37">
          <cell r="L37">
            <v>34531238</v>
          </cell>
        </row>
        <row r="38">
          <cell r="L38">
            <v>72605191</v>
          </cell>
        </row>
        <row r="39">
          <cell r="L39">
            <v>2314703</v>
          </cell>
        </row>
        <row r="40">
          <cell r="L40">
            <v>735422</v>
          </cell>
        </row>
        <row r="41">
          <cell r="L41">
            <v>35060452</v>
          </cell>
        </row>
        <row r="42">
          <cell r="L42">
            <v>10224362</v>
          </cell>
        </row>
        <row r="43">
          <cell r="L43">
            <v>8181451</v>
          </cell>
        </row>
        <row r="44">
          <cell r="L44">
            <v>386973720</v>
          </cell>
        </row>
        <row r="45">
          <cell r="L45">
            <v>642609</v>
          </cell>
        </row>
        <row r="46">
          <cell r="L46">
            <v>54532968</v>
          </cell>
        </row>
      </sheetData>
      <sheetData sheetId="6">
        <row r="23">
          <cell r="C23">
            <v>53373902</v>
          </cell>
        </row>
      </sheetData>
    </sheetDataSet>
  </externalBook>
</externalLink>
</file>

<file path=xl/externalLinks/externalLink158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1329256</v>
          </cell>
        </row>
        <row r="5">
          <cell r="L5">
            <v>0</v>
          </cell>
        </row>
        <row r="6">
          <cell r="L6">
            <v>210297</v>
          </cell>
        </row>
        <row r="7">
          <cell r="L7">
            <v>17606673</v>
          </cell>
        </row>
        <row r="8">
          <cell r="L8">
            <v>11752131</v>
          </cell>
        </row>
        <row r="9">
          <cell r="L9">
            <v>4336494</v>
          </cell>
        </row>
        <row r="10">
          <cell r="L10">
            <v>146604</v>
          </cell>
        </row>
        <row r="11">
          <cell r="L11">
            <v>1770930</v>
          </cell>
        </row>
        <row r="12">
          <cell r="L12">
            <v>106</v>
          </cell>
        </row>
        <row r="13">
          <cell r="L13">
            <v>34</v>
          </cell>
        </row>
        <row r="14">
          <cell r="L14">
            <v>44488</v>
          </cell>
        </row>
        <row r="15">
          <cell r="L15">
            <v>6662351</v>
          </cell>
        </row>
        <row r="16">
          <cell r="L16">
            <v>31460</v>
          </cell>
        </row>
        <row r="17">
          <cell r="L17">
            <v>598683</v>
          </cell>
        </row>
        <row r="18">
          <cell r="L18">
            <v>237656</v>
          </cell>
        </row>
        <row r="19">
          <cell r="L19">
            <v>1365758</v>
          </cell>
        </row>
        <row r="20">
          <cell r="L20">
            <v>2101487</v>
          </cell>
        </row>
        <row r="21">
          <cell r="L21">
            <v>11907677</v>
          </cell>
        </row>
        <row r="22">
          <cell r="L22">
            <v>548713</v>
          </cell>
        </row>
        <row r="23">
          <cell r="L23">
            <v>3776301</v>
          </cell>
        </row>
        <row r="24">
          <cell r="L24">
            <v>980510</v>
          </cell>
        </row>
        <row r="25">
          <cell r="L25">
            <v>637037</v>
          </cell>
        </row>
        <row r="26">
          <cell r="L26">
            <v>393908</v>
          </cell>
        </row>
        <row r="27">
          <cell r="L27">
            <v>9305563</v>
          </cell>
        </row>
        <row r="28">
          <cell r="L28">
            <v>4544505</v>
          </cell>
        </row>
        <row r="29">
          <cell r="L29">
            <v>2633</v>
          </cell>
        </row>
        <row r="30">
          <cell r="L30">
            <v>843347</v>
          </cell>
        </row>
        <row r="31">
          <cell r="L31">
            <v>3352989</v>
          </cell>
        </row>
        <row r="32">
          <cell r="L32">
            <v>35709424</v>
          </cell>
        </row>
        <row r="33">
          <cell r="L33">
            <v>1428375</v>
          </cell>
        </row>
        <row r="34">
          <cell r="L34">
            <v>9125563</v>
          </cell>
        </row>
        <row r="35">
          <cell r="L35">
            <v>496078</v>
          </cell>
        </row>
        <row r="36">
          <cell r="L36">
            <v>11471568</v>
          </cell>
        </row>
        <row r="37">
          <cell r="L37">
            <v>38321946</v>
          </cell>
        </row>
        <row r="38">
          <cell r="L38">
            <v>72892724</v>
          </cell>
        </row>
        <row r="39">
          <cell r="L39">
            <v>2264912</v>
          </cell>
        </row>
        <row r="40">
          <cell r="L40">
            <v>727224</v>
          </cell>
        </row>
        <row r="41">
          <cell r="L41">
            <v>34553071</v>
          </cell>
        </row>
        <row r="42">
          <cell r="L42">
            <v>10773833</v>
          </cell>
        </row>
        <row r="43">
          <cell r="L43">
            <v>7858765</v>
          </cell>
        </row>
        <row r="44">
          <cell r="L44">
            <v>392536937</v>
          </cell>
        </row>
        <row r="45">
          <cell r="L45">
            <v>667101</v>
          </cell>
        </row>
        <row r="46">
          <cell r="L46">
            <v>50223719</v>
          </cell>
        </row>
      </sheetData>
      <sheetData sheetId="6">
        <row r="23">
          <cell r="C23">
            <v>54062798</v>
          </cell>
        </row>
      </sheetData>
    </sheetDataSet>
  </externalBook>
</externalLink>
</file>

<file path=xl/externalLinks/externalLink159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1152175</v>
          </cell>
        </row>
        <row r="5">
          <cell r="L5">
            <v>0</v>
          </cell>
        </row>
        <row r="6">
          <cell r="L6">
            <v>196233</v>
          </cell>
        </row>
        <row r="7">
          <cell r="L7">
            <v>15910729</v>
          </cell>
        </row>
        <row r="8">
          <cell r="L8">
            <v>11501429</v>
          </cell>
        </row>
        <row r="9">
          <cell r="L9">
            <v>4389898</v>
          </cell>
        </row>
        <row r="10">
          <cell r="L10">
            <v>149626</v>
          </cell>
        </row>
        <row r="11">
          <cell r="L11">
            <v>1739184</v>
          </cell>
        </row>
        <row r="12">
          <cell r="L12">
            <v>106</v>
          </cell>
        </row>
        <row r="13">
          <cell r="L13">
            <v>6701</v>
          </cell>
        </row>
        <row r="14">
          <cell r="L14">
            <v>53109</v>
          </cell>
        </row>
        <row r="15">
          <cell r="L15">
            <v>6693840</v>
          </cell>
        </row>
        <row r="16">
          <cell r="L16">
            <v>28904</v>
          </cell>
        </row>
        <row r="17">
          <cell r="L17">
            <v>585883</v>
          </cell>
        </row>
        <row r="18">
          <cell r="L18">
            <v>251540</v>
          </cell>
        </row>
        <row r="19">
          <cell r="L19">
            <v>1384985</v>
          </cell>
        </row>
        <row r="20">
          <cell r="L20">
            <v>2095116</v>
          </cell>
        </row>
        <row r="21">
          <cell r="L21">
            <v>11783074</v>
          </cell>
        </row>
        <row r="22">
          <cell r="L22">
            <v>518119</v>
          </cell>
        </row>
        <row r="23">
          <cell r="L23">
            <v>3684400</v>
          </cell>
        </row>
        <row r="24">
          <cell r="L24">
            <v>1019419</v>
          </cell>
        </row>
        <row r="25">
          <cell r="L25">
            <v>607236</v>
          </cell>
        </row>
        <row r="26">
          <cell r="L26">
            <v>411087</v>
          </cell>
        </row>
        <row r="27">
          <cell r="L27">
            <v>9177251</v>
          </cell>
        </row>
        <row r="28">
          <cell r="L28">
            <v>4513971</v>
          </cell>
        </row>
        <row r="29">
          <cell r="L29">
            <v>0</v>
          </cell>
        </row>
        <row r="30">
          <cell r="L30">
            <v>797698</v>
          </cell>
        </row>
        <row r="31">
          <cell r="L31">
            <v>3816103</v>
          </cell>
        </row>
        <row r="32">
          <cell r="L32">
            <v>36377389</v>
          </cell>
        </row>
        <row r="33">
          <cell r="L33">
            <v>1417840</v>
          </cell>
        </row>
        <row r="34">
          <cell r="L34">
            <v>8877214</v>
          </cell>
        </row>
        <row r="35">
          <cell r="L35">
            <v>463752</v>
          </cell>
        </row>
        <row r="36">
          <cell r="L36">
            <v>10930814</v>
          </cell>
        </row>
        <row r="37">
          <cell r="L37">
            <v>38001725</v>
          </cell>
        </row>
        <row r="38">
          <cell r="L38">
            <v>74698711</v>
          </cell>
        </row>
        <row r="39">
          <cell r="L39">
            <v>2260385</v>
          </cell>
        </row>
        <row r="40">
          <cell r="L40">
            <v>746539</v>
          </cell>
        </row>
        <row r="41">
          <cell r="L41">
            <v>34867782</v>
          </cell>
        </row>
        <row r="42">
          <cell r="L42">
            <v>10608630</v>
          </cell>
        </row>
        <row r="43">
          <cell r="L43">
            <v>8299771</v>
          </cell>
        </row>
        <row r="44">
          <cell r="L44">
            <v>397940984</v>
          </cell>
        </row>
        <row r="45">
          <cell r="L45">
            <v>736960</v>
          </cell>
        </row>
        <row r="46">
          <cell r="L46">
            <v>48624464</v>
          </cell>
        </row>
      </sheetData>
      <sheetData sheetId="6">
        <row r="23">
          <cell r="C23">
            <v>54246379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11loa"/>
    </sheetNames>
    <sheetDataSet>
      <sheetData sheetId="0">
        <row r="10">
          <cell r="I10">
            <v>4310830</v>
          </cell>
        </row>
        <row r="19">
          <cell r="I19">
            <v>161156</v>
          </cell>
        </row>
        <row r="23">
          <cell r="I23">
            <v>2089</v>
          </cell>
        </row>
        <row r="25">
          <cell r="J25">
            <v>419034</v>
          </cell>
        </row>
        <row r="30">
          <cell r="I30">
            <v>108002</v>
          </cell>
        </row>
        <row r="31">
          <cell r="I31">
            <v>1902040</v>
          </cell>
        </row>
        <row r="32">
          <cell r="I32">
            <v>0</v>
          </cell>
        </row>
        <row r="33">
          <cell r="I33">
            <v>119332</v>
          </cell>
        </row>
        <row r="34">
          <cell r="I34">
            <v>136253</v>
          </cell>
        </row>
        <row r="35">
          <cell r="I35">
            <v>633570</v>
          </cell>
        </row>
        <row r="36">
          <cell r="I36">
            <v>377336</v>
          </cell>
        </row>
        <row r="37">
          <cell r="I37">
            <v>884992</v>
          </cell>
        </row>
        <row r="38">
          <cell r="I38">
            <v>569541</v>
          </cell>
        </row>
        <row r="39">
          <cell r="I39">
            <v>3406583</v>
          </cell>
        </row>
        <row r="42">
          <cell r="I42">
            <v>19754876</v>
          </cell>
        </row>
        <row r="43">
          <cell r="I43">
            <v>538716</v>
          </cell>
        </row>
        <row r="44">
          <cell r="I44">
            <v>215441</v>
          </cell>
        </row>
        <row r="46">
          <cell r="J46">
            <v>945575</v>
          </cell>
        </row>
        <row r="49">
          <cell r="I49">
            <v>4708714</v>
          </cell>
        </row>
        <row r="50">
          <cell r="I50">
            <v>283524</v>
          </cell>
        </row>
        <row r="51">
          <cell r="I51">
            <v>4150891</v>
          </cell>
        </row>
        <row r="53">
          <cell r="J53">
            <v>4270493</v>
          </cell>
        </row>
        <row r="56">
          <cell r="I56">
            <v>11011777</v>
          </cell>
        </row>
        <row r="57">
          <cell r="I57">
            <v>1408</v>
          </cell>
        </row>
        <row r="58">
          <cell r="I58">
            <v>13834893</v>
          </cell>
        </row>
        <row r="59">
          <cell r="I59">
            <v>4010260</v>
          </cell>
        </row>
        <row r="61">
          <cell r="J61">
            <v>26872889</v>
          </cell>
        </row>
        <row r="63">
          <cell r="J63">
            <v>32432392</v>
          </cell>
        </row>
        <row r="65">
          <cell r="J65">
            <v>419932</v>
          </cell>
        </row>
        <row r="67">
          <cell r="J67">
            <v>16995949</v>
          </cell>
        </row>
        <row r="73">
          <cell r="J73">
            <v>87608032</v>
          </cell>
        </row>
        <row r="77">
          <cell r="J77">
            <v>6738274</v>
          </cell>
        </row>
      </sheetData>
    </sheetDataSet>
  </externalBook>
</externalLink>
</file>

<file path=xl/externalLinks/externalLink160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1208478</v>
          </cell>
        </row>
        <row r="5">
          <cell r="L5">
            <v>2593</v>
          </cell>
        </row>
        <row r="6">
          <cell r="L6">
            <v>196488</v>
          </cell>
        </row>
        <row r="7">
          <cell r="L7">
            <v>17414393</v>
          </cell>
        </row>
        <row r="8">
          <cell r="L8">
            <v>11049572</v>
          </cell>
        </row>
        <row r="9">
          <cell r="L9">
            <v>4600000</v>
          </cell>
        </row>
        <row r="10">
          <cell r="L10">
            <v>162336</v>
          </cell>
        </row>
        <row r="11">
          <cell r="L11">
            <v>1757353</v>
          </cell>
        </row>
        <row r="12">
          <cell r="L12">
            <v>106</v>
          </cell>
        </row>
        <row r="13">
          <cell r="L13">
            <v>3307</v>
          </cell>
        </row>
        <row r="14">
          <cell r="L14">
            <v>63288</v>
          </cell>
        </row>
        <row r="15">
          <cell r="L15">
            <v>6624594</v>
          </cell>
        </row>
        <row r="16">
          <cell r="L16">
            <v>28677</v>
          </cell>
        </row>
        <row r="17">
          <cell r="L17">
            <v>581898</v>
          </cell>
        </row>
        <row r="18">
          <cell r="L18">
            <v>250239</v>
          </cell>
        </row>
        <row r="19">
          <cell r="L19">
            <v>1304024</v>
          </cell>
        </row>
        <row r="20">
          <cell r="L20">
            <v>2161277</v>
          </cell>
        </row>
        <row r="21">
          <cell r="L21">
            <v>11696422</v>
          </cell>
        </row>
        <row r="22">
          <cell r="L22">
            <v>791118</v>
          </cell>
        </row>
        <row r="23">
          <cell r="L23">
            <v>3821381</v>
          </cell>
        </row>
        <row r="24">
          <cell r="L24">
            <v>998347</v>
          </cell>
        </row>
        <row r="25">
          <cell r="L25">
            <v>1153697</v>
          </cell>
        </row>
        <row r="26">
          <cell r="L26">
            <v>402303</v>
          </cell>
        </row>
        <row r="27">
          <cell r="L27">
            <v>9713931</v>
          </cell>
        </row>
        <row r="28">
          <cell r="L28">
            <v>165805</v>
          </cell>
        </row>
        <row r="29">
          <cell r="L29">
            <v>0</v>
          </cell>
        </row>
        <row r="30">
          <cell r="L30">
            <v>807806</v>
          </cell>
        </row>
        <row r="31">
          <cell r="L31">
            <v>3697247</v>
          </cell>
        </row>
        <row r="32">
          <cell r="L32">
            <v>40201798</v>
          </cell>
        </row>
        <row r="33">
          <cell r="L33">
            <v>1403504</v>
          </cell>
        </row>
        <row r="34">
          <cell r="L34">
            <v>8930515</v>
          </cell>
        </row>
        <row r="35">
          <cell r="L35">
            <v>481897</v>
          </cell>
        </row>
        <row r="36">
          <cell r="L36">
            <v>10791210</v>
          </cell>
        </row>
        <row r="37">
          <cell r="L37">
            <v>39222059</v>
          </cell>
        </row>
        <row r="38">
          <cell r="L38">
            <v>76079568</v>
          </cell>
        </row>
        <row r="39">
          <cell r="L39">
            <v>2032151</v>
          </cell>
        </row>
        <row r="40">
          <cell r="L40">
            <v>730150</v>
          </cell>
        </row>
        <row r="41">
          <cell r="L41">
            <v>37089903</v>
          </cell>
        </row>
        <row r="42">
          <cell r="L42">
            <v>10646518</v>
          </cell>
        </row>
        <row r="43">
          <cell r="L43">
            <v>8753353</v>
          </cell>
        </row>
        <row r="44">
          <cell r="L44">
            <v>400983926</v>
          </cell>
        </row>
        <row r="45">
          <cell r="L45">
            <v>778981</v>
          </cell>
        </row>
        <row r="46">
          <cell r="L46">
            <v>49842279</v>
          </cell>
        </row>
      </sheetData>
      <sheetData sheetId="6">
        <row r="23">
          <cell r="C23">
            <v>58039325</v>
          </cell>
        </row>
      </sheetData>
    </sheetDataSet>
  </externalBook>
</externalLink>
</file>

<file path=xl/externalLinks/externalLink161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1192923</v>
          </cell>
        </row>
        <row r="5">
          <cell r="L5">
            <v>2091</v>
          </cell>
        </row>
        <row r="6">
          <cell r="L6">
            <v>191372</v>
          </cell>
        </row>
        <row r="7">
          <cell r="L7">
            <v>16582230</v>
          </cell>
        </row>
        <row r="8">
          <cell r="L8">
            <v>11858102</v>
          </cell>
        </row>
        <row r="9">
          <cell r="L9">
            <v>4850000</v>
          </cell>
        </row>
        <row r="10">
          <cell r="L10">
            <v>166794</v>
          </cell>
        </row>
        <row r="11">
          <cell r="L11">
            <v>1741614</v>
          </cell>
        </row>
        <row r="12">
          <cell r="L12">
            <v>106</v>
          </cell>
        </row>
        <row r="13">
          <cell r="L13">
            <v>5065</v>
          </cell>
        </row>
        <row r="14">
          <cell r="L14">
            <v>74095</v>
          </cell>
        </row>
        <row r="15">
          <cell r="L15">
            <v>6611864</v>
          </cell>
        </row>
        <row r="16">
          <cell r="L16">
            <v>27643</v>
          </cell>
        </row>
        <row r="17">
          <cell r="L17">
            <v>577529</v>
          </cell>
        </row>
        <row r="18">
          <cell r="L18">
            <v>235030</v>
          </cell>
        </row>
        <row r="19">
          <cell r="L19">
            <v>1255272</v>
          </cell>
        </row>
        <row r="20">
          <cell r="L20">
            <v>2055544</v>
          </cell>
        </row>
        <row r="21">
          <cell r="L21">
            <v>11490221</v>
          </cell>
        </row>
        <row r="22">
          <cell r="L22">
            <v>781370</v>
          </cell>
        </row>
        <row r="23">
          <cell r="L23">
            <v>3740113</v>
          </cell>
        </row>
        <row r="24">
          <cell r="L24">
            <v>993885</v>
          </cell>
        </row>
        <row r="25">
          <cell r="L25">
            <v>2080101</v>
          </cell>
        </row>
        <row r="26">
          <cell r="L26">
            <v>498554</v>
          </cell>
        </row>
        <row r="27">
          <cell r="L27">
            <v>9815913</v>
          </cell>
        </row>
        <row r="28">
          <cell r="L28">
            <v>163350</v>
          </cell>
        </row>
        <row r="29">
          <cell r="L29">
            <v>0</v>
          </cell>
        </row>
        <row r="30">
          <cell r="L30">
            <v>792585</v>
          </cell>
        </row>
        <row r="31">
          <cell r="L31">
            <v>3645899</v>
          </cell>
        </row>
        <row r="32">
          <cell r="L32">
            <v>40634053</v>
          </cell>
        </row>
        <row r="33">
          <cell r="L33">
            <v>1378458</v>
          </cell>
        </row>
        <row r="34">
          <cell r="L34">
            <v>8825329</v>
          </cell>
        </row>
        <row r="35">
          <cell r="L35">
            <v>440885</v>
          </cell>
        </row>
        <row r="36">
          <cell r="L36">
            <v>10524132</v>
          </cell>
        </row>
        <row r="37">
          <cell r="L37">
            <v>40623401</v>
          </cell>
        </row>
        <row r="38">
          <cell r="L38">
            <v>76350844</v>
          </cell>
        </row>
        <row r="39">
          <cell r="L39">
            <v>2006615</v>
          </cell>
        </row>
        <row r="40">
          <cell r="L40">
            <v>741890</v>
          </cell>
        </row>
        <row r="41">
          <cell r="L41">
            <v>35625539</v>
          </cell>
        </row>
        <row r="42">
          <cell r="L42">
            <v>10568199</v>
          </cell>
        </row>
        <row r="43">
          <cell r="L43">
            <v>8254642</v>
          </cell>
        </row>
        <row r="44">
          <cell r="L44">
            <v>405929332</v>
          </cell>
        </row>
        <row r="45">
          <cell r="L45">
            <v>887018</v>
          </cell>
        </row>
        <row r="46">
          <cell r="L46">
            <v>48301864</v>
          </cell>
        </row>
      </sheetData>
      <sheetData sheetId="6">
        <row r="23">
          <cell r="C23">
            <v>58166729</v>
          </cell>
        </row>
      </sheetData>
    </sheetDataSet>
  </externalBook>
</externalLink>
</file>

<file path=xl/externalLinks/externalLink162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1040615</v>
          </cell>
        </row>
        <row r="5">
          <cell r="L5">
            <v>1488</v>
          </cell>
        </row>
        <row r="6">
          <cell r="L6">
            <v>183527</v>
          </cell>
        </row>
        <row r="7">
          <cell r="L7">
            <v>12086925</v>
          </cell>
        </row>
        <row r="8">
          <cell r="L8">
            <v>12309884</v>
          </cell>
        </row>
        <row r="9">
          <cell r="L9">
            <v>5150000</v>
          </cell>
        </row>
        <row r="10">
          <cell r="L10">
            <v>176178</v>
          </cell>
        </row>
        <row r="11">
          <cell r="L11">
            <v>1715139</v>
          </cell>
        </row>
        <row r="12">
          <cell r="L12">
            <v>102</v>
          </cell>
        </row>
        <row r="13">
          <cell r="L13">
            <v>2209</v>
          </cell>
        </row>
        <row r="14">
          <cell r="L14">
            <v>46475</v>
          </cell>
        </row>
        <row r="15">
          <cell r="L15">
            <v>6629252</v>
          </cell>
        </row>
        <row r="16">
          <cell r="L16">
            <v>27291</v>
          </cell>
        </row>
        <row r="17">
          <cell r="L17">
            <v>686370</v>
          </cell>
        </row>
        <row r="18">
          <cell r="L18">
            <v>233748</v>
          </cell>
        </row>
        <row r="19">
          <cell r="L19">
            <v>1297840</v>
          </cell>
        </row>
        <row r="20">
          <cell r="L20">
            <v>1996950</v>
          </cell>
        </row>
        <row r="21">
          <cell r="L21">
            <v>11634082</v>
          </cell>
        </row>
        <row r="22">
          <cell r="L22">
            <v>743035</v>
          </cell>
        </row>
        <row r="23">
          <cell r="L23">
            <v>3625236</v>
          </cell>
        </row>
        <row r="24">
          <cell r="L24">
            <v>994760</v>
          </cell>
        </row>
        <row r="25">
          <cell r="L25">
            <v>2054866</v>
          </cell>
        </row>
        <row r="26">
          <cell r="L26">
            <v>604893</v>
          </cell>
        </row>
        <row r="27">
          <cell r="L27">
            <v>9757577</v>
          </cell>
        </row>
        <row r="28">
          <cell r="L28">
            <v>158631</v>
          </cell>
        </row>
        <row r="29">
          <cell r="L29">
            <v>0</v>
          </cell>
        </row>
        <row r="30">
          <cell r="L30">
            <v>774096</v>
          </cell>
        </row>
        <row r="31">
          <cell r="L31">
            <v>3834791</v>
          </cell>
        </row>
        <row r="32">
          <cell r="L32">
            <v>44292919</v>
          </cell>
        </row>
        <row r="33">
          <cell r="L33">
            <v>1363921</v>
          </cell>
        </row>
        <row r="34">
          <cell r="L34">
            <v>8742727</v>
          </cell>
        </row>
        <row r="35">
          <cell r="L35">
            <v>466122</v>
          </cell>
        </row>
        <row r="36">
          <cell r="L36">
            <v>21210890</v>
          </cell>
        </row>
        <row r="37">
          <cell r="L37">
            <v>39424662</v>
          </cell>
        </row>
        <row r="38">
          <cell r="L38">
            <v>75857573</v>
          </cell>
        </row>
        <row r="39">
          <cell r="L39">
            <v>2238764</v>
          </cell>
        </row>
        <row r="40">
          <cell r="L40">
            <v>771693</v>
          </cell>
        </row>
        <row r="41">
          <cell r="L41">
            <v>36121338</v>
          </cell>
        </row>
        <row r="42">
          <cell r="L42">
            <v>10027467</v>
          </cell>
        </row>
        <row r="43">
          <cell r="L43">
            <v>8106575</v>
          </cell>
        </row>
        <row r="44">
          <cell r="L44">
            <v>410481495</v>
          </cell>
        </row>
        <row r="45">
          <cell r="L45">
            <v>999295</v>
          </cell>
        </row>
        <row r="46">
          <cell r="L46">
            <v>48473828</v>
          </cell>
        </row>
      </sheetData>
      <sheetData sheetId="6">
        <row r="23">
          <cell r="C23">
            <v>56308736</v>
          </cell>
        </row>
      </sheetData>
    </sheetDataSet>
  </externalBook>
</externalLink>
</file>

<file path=xl/externalLinks/externalLink163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1193605</v>
          </cell>
        </row>
        <row r="5">
          <cell r="L5">
            <v>1010</v>
          </cell>
        </row>
        <row r="6">
          <cell r="L6">
            <v>182608</v>
          </cell>
        </row>
        <row r="7">
          <cell r="L7">
            <v>16671351</v>
          </cell>
        </row>
        <row r="8">
          <cell r="L8">
            <v>12346512</v>
          </cell>
        </row>
        <row r="9">
          <cell r="L9">
            <v>5150000</v>
          </cell>
        </row>
        <row r="10">
          <cell r="L10">
            <v>153580</v>
          </cell>
        </row>
        <row r="11">
          <cell r="L11">
            <v>1732549</v>
          </cell>
        </row>
        <row r="12">
          <cell r="L12">
            <v>109</v>
          </cell>
        </row>
        <row r="13">
          <cell r="L13">
            <v>239</v>
          </cell>
        </row>
        <row r="14">
          <cell r="L14">
            <v>66862</v>
          </cell>
        </row>
        <row r="15">
          <cell r="L15">
            <v>6433315</v>
          </cell>
        </row>
        <row r="16">
          <cell r="L16">
            <v>27047</v>
          </cell>
        </row>
        <row r="17">
          <cell r="L17">
            <v>693942</v>
          </cell>
        </row>
        <row r="18">
          <cell r="L18">
            <v>222466</v>
          </cell>
        </row>
        <row r="19">
          <cell r="L19">
            <v>1287332</v>
          </cell>
        </row>
        <row r="20">
          <cell r="L20">
            <v>2055746</v>
          </cell>
        </row>
        <row r="21">
          <cell r="L21">
            <v>11928940</v>
          </cell>
        </row>
        <row r="22">
          <cell r="L22">
            <v>743089</v>
          </cell>
        </row>
        <row r="23">
          <cell r="L23">
            <v>3865143</v>
          </cell>
        </row>
        <row r="24">
          <cell r="L24">
            <v>996777</v>
          </cell>
        </row>
        <row r="25">
          <cell r="L25">
            <v>2040996</v>
          </cell>
        </row>
        <row r="26">
          <cell r="L26">
            <v>524974</v>
          </cell>
        </row>
        <row r="27">
          <cell r="L27">
            <v>9553125</v>
          </cell>
        </row>
        <row r="28">
          <cell r="L28">
            <v>142941</v>
          </cell>
        </row>
        <row r="29">
          <cell r="L29">
            <v>79</v>
          </cell>
        </row>
        <row r="30">
          <cell r="L30">
            <v>616042</v>
          </cell>
        </row>
        <row r="31">
          <cell r="L31">
            <v>3981796</v>
          </cell>
        </row>
        <row r="32">
          <cell r="L32">
            <v>45735763</v>
          </cell>
        </row>
        <row r="33">
          <cell r="L33">
            <v>1303429</v>
          </cell>
        </row>
        <row r="34">
          <cell r="L34">
            <v>8828119</v>
          </cell>
        </row>
        <row r="35">
          <cell r="L35">
            <v>466811</v>
          </cell>
        </row>
        <row r="36">
          <cell r="L36">
            <v>22120768</v>
          </cell>
        </row>
        <row r="37">
          <cell r="L37">
            <v>41530301</v>
          </cell>
        </row>
        <row r="38">
          <cell r="L38">
            <v>75125617</v>
          </cell>
        </row>
        <row r="39">
          <cell r="L39">
            <v>2441867</v>
          </cell>
        </row>
        <row r="40">
          <cell r="L40">
            <v>659135</v>
          </cell>
        </row>
        <row r="41">
          <cell r="L41">
            <v>34693438</v>
          </cell>
        </row>
        <row r="42">
          <cell r="L42">
            <v>10187176</v>
          </cell>
        </row>
        <row r="43">
          <cell r="L43">
            <v>8556979</v>
          </cell>
        </row>
        <row r="44">
          <cell r="L44">
            <v>414393880</v>
          </cell>
        </row>
        <row r="45">
          <cell r="L45">
            <v>1006720</v>
          </cell>
        </row>
        <row r="46">
          <cell r="L46">
            <v>50601935</v>
          </cell>
        </row>
      </sheetData>
      <sheetData sheetId="6">
        <row r="23">
          <cell r="C23">
            <v>61568171</v>
          </cell>
        </row>
      </sheetData>
    </sheetDataSet>
  </externalBook>
</externalLink>
</file>

<file path=xl/externalLinks/externalLink164.xml><?xml version="1.0" encoding="utf-8"?>
<externalLink xmlns="http://schemas.openxmlformats.org/spreadsheetml/2006/main">
  <externalBook xmlns:r="http://schemas.openxmlformats.org/officeDocument/2006/relationships" r:id="rId1">
    <sheetNames>
      <sheetName val="Oct05l&amp;a"/>
    </sheetNames>
    <sheetDataSet>
      <sheetData sheetId="0">
        <row r="10">
          <cell r="H10">
            <v>1449665</v>
          </cell>
        </row>
        <row r="19">
          <cell r="H19">
            <v>117604</v>
          </cell>
        </row>
        <row r="23">
          <cell r="H23">
            <v>131113</v>
          </cell>
        </row>
        <row r="25">
          <cell r="I25">
            <v>291411</v>
          </cell>
        </row>
        <row r="30">
          <cell r="H30">
            <v>360505</v>
          </cell>
        </row>
        <row r="31">
          <cell r="H31">
            <v>2068100</v>
          </cell>
        </row>
        <row r="32">
          <cell r="H32">
            <v>435</v>
          </cell>
        </row>
        <row r="33">
          <cell r="H33">
            <v>220381</v>
          </cell>
        </row>
        <row r="34">
          <cell r="H34">
            <v>114969</v>
          </cell>
        </row>
        <row r="35">
          <cell r="H35">
            <v>86468</v>
          </cell>
        </row>
        <row r="36">
          <cell r="H36">
            <v>191180</v>
          </cell>
        </row>
        <row r="37">
          <cell r="H37">
            <v>472071</v>
          </cell>
        </row>
        <row r="38">
          <cell r="H38">
            <v>149659</v>
          </cell>
        </row>
        <row r="39">
          <cell r="H39">
            <v>1233254</v>
          </cell>
        </row>
        <row r="42">
          <cell r="H42">
            <v>5024329</v>
          </cell>
        </row>
        <row r="43">
          <cell r="H43">
            <v>131643</v>
          </cell>
        </row>
        <row r="44">
          <cell r="H44">
            <v>237088</v>
          </cell>
        </row>
        <row r="46">
          <cell r="I46">
            <v>603940</v>
          </cell>
        </row>
        <row r="49">
          <cell r="H49">
            <v>1410048</v>
          </cell>
        </row>
        <row r="50">
          <cell r="H50">
            <v>44298</v>
          </cell>
        </row>
        <row r="51">
          <cell r="H51">
            <v>3849448</v>
          </cell>
        </row>
        <row r="53">
          <cell r="I53">
            <v>876339</v>
          </cell>
        </row>
        <row r="56">
          <cell r="H56">
            <v>8284157</v>
          </cell>
        </row>
        <row r="57">
          <cell r="H57">
            <v>4408</v>
          </cell>
        </row>
        <row r="58">
          <cell r="H58">
            <v>11272239</v>
          </cell>
        </row>
        <row r="59">
          <cell r="H59">
            <v>11231369</v>
          </cell>
        </row>
        <row r="61">
          <cell r="I61">
            <v>8438071</v>
          </cell>
        </row>
        <row r="63">
          <cell r="I63">
            <v>21174988</v>
          </cell>
        </row>
        <row r="65">
          <cell r="I65">
            <v>279269</v>
          </cell>
        </row>
        <row r="67">
          <cell r="I67">
            <v>7880281</v>
          </cell>
        </row>
        <row r="73">
          <cell r="I73">
            <v>38919196</v>
          </cell>
        </row>
        <row r="77">
          <cell r="I77">
            <v>18475</v>
          </cell>
        </row>
      </sheetData>
    </sheetDataSet>
  </externalBook>
</externalLink>
</file>

<file path=xl/externalLinks/externalLink165.xml><?xml version="1.0" encoding="utf-8"?>
<externalLink xmlns="http://schemas.openxmlformats.org/spreadsheetml/2006/main">
  <externalBook xmlns:r="http://schemas.openxmlformats.org/officeDocument/2006/relationships" r:id="rId1">
    <sheetNames>
      <sheetName val="Apr06l&amp;a"/>
    </sheetNames>
    <sheetDataSet>
      <sheetData sheetId="0">
        <row r="10">
          <cell r="H10">
            <v>1485676</v>
          </cell>
        </row>
        <row r="19">
          <cell r="H19">
            <v>417520</v>
          </cell>
        </row>
        <row r="23">
          <cell r="H23">
            <v>263441</v>
          </cell>
        </row>
        <row r="25">
          <cell r="I25">
            <v>347622</v>
          </cell>
        </row>
        <row r="30">
          <cell r="H30">
            <v>293699</v>
          </cell>
        </row>
        <row r="31">
          <cell r="H31">
            <v>1849221</v>
          </cell>
        </row>
        <row r="32">
          <cell r="H32">
            <v>9</v>
          </cell>
        </row>
        <row r="33">
          <cell r="H33">
            <v>241869</v>
          </cell>
        </row>
        <row r="34">
          <cell r="H34">
            <v>182093</v>
          </cell>
        </row>
        <row r="35">
          <cell r="H35">
            <v>87238</v>
          </cell>
        </row>
        <row r="36">
          <cell r="H36">
            <v>218032</v>
          </cell>
        </row>
        <row r="37">
          <cell r="H37">
            <v>519353</v>
          </cell>
        </row>
        <row r="38">
          <cell r="H38">
            <v>144244</v>
          </cell>
        </row>
        <row r="39">
          <cell r="H39">
            <v>1383780</v>
          </cell>
        </row>
        <row r="42">
          <cell r="H42">
            <v>5646928</v>
          </cell>
        </row>
        <row r="43">
          <cell r="H43">
            <v>128194</v>
          </cell>
        </row>
        <row r="44">
          <cell r="H44">
            <v>238442</v>
          </cell>
        </row>
        <row r="46">
          <cell r="I46">
            <v>1255018</v>
          </cell>
        </row>
        <row r="49">
          <cell r="H49">
            <v>1463568</v>
          </cell>
        </row>
        <row r="50">
          <cell r="H50">
            <v>40443</v>
          </cell>
        </row>
        <row r="51">
          <cell r="H51">
            <v>3691646</v>
          </cell>
        </row>
        <row r="53">
          <cell r="I53">
            <v>746043</v>
          </cell>
        </row>
        <row r="56">
          <cell r="H56">
            <v>7250096</v>
          </cell>
        </row>
        <row r="57">
          <cell r="H57">
            <v>2698</v>
          </cell>
        </row>
        <row r="58">
          <cell r="H58">
            <v>10156597</v>
          </cell>
        </row>
        <row r="59">
          <cell r="H59">
            <v>11929593</v>
          </cell>
        </row>
        <row r="61">
          <cell r="I61">
            <v>9304577</v>
          </cell>
        </row>
        <row r="63">
          <cell r="I63">
            <v>21601851</v>
          </cell>
        </row>
        <row r="65">
          <cell r="I65">
            <v>288077</v>
          </cell>
        </row>
        <row r="67">
          <cell r="I67">
            <v>7353738</v>
          </cell>
        </row>
        <row r="73">
          <cell r="I73">
            <v>44584499</v>
          </cell>
        </row>
        <row r="77">
          <cell r="I77">
            <v>14687</v>
          </cell>
        </row>
      </sheetData>
    </sheetDataSet>
  </externalBook>
</externalLink>
</file>

<file path=xl/externalLinks/externalLink166.xml><?xml version="1.0" encoding="utf-8"?>
<externalLink xmlns="http://schemas.openxmlformats.org/spreadsheetml/2006/main">
  <externalBook xmlns:r="http://schemas.openxmlformats.org/officeDocument/2006/relationships" r:id="rId1">
    <sheetNames>
      <sheetName val="May06l&amp;a"/>
    </sheetNames>
    <sheetDataSet>
      <sheetData sheetId="0">
        <row r="19">
          <cell r="H19">
            <v>511288</v>
          </cell>
        </row>
        <row r="23">
          <cell r="H23">
            <v>293293</v>
          </cell>
        </row>
        <row r="25">
          <cell r="I25">
            <v>327105</v>
          </cell>
        </row>
        <row r="30">
          <cell r="H30">
            <v>302348</v>
          </cell>
        </row>
        <row r="31">
          <cell r="H31">
            <v>1864406</v>
          </cell>
        </row>
        <row r="32">
          <cell r="H32">
            <v>416</v>
          </cell>
        </row>
        <row r="33">
          <cell r="H33">
            <v>268516</v>
          </cell>
        </row>
        <row r="34">
          <cell r="H34">
            <v>185313</v>
          </cell>
        </row>
        <row r="35">
          <cell r="H35">
            <v>100355</v>
          </cell>
        </row>
        <row r="36">
          <cell r="H36">
            <v>217313</v>
          </cell>
        </row>
        <row r="37">
          <cell r="H37">
            <v>430074</v>
          </cell>
        </row>
        <row r="38">
          <cell r="H38">
            <v>125409</v>
          </cell>
        </row>
        <row r="39">
          <cell r="H39">
            <v>1329991</v>
          </cell>
        </row>
        <row r="42">
          <cell r="H42">
            <v>5996106</v>
          </cell>
        </row>
        <row r="43">
          <cell r="H43">
            <v>124789</v>
          </cell>
        </row>
        <row r="44">
          <cell r="H44">
            <v>267871</v>
          </cell>
        </row>
        <row r="46">
          <cell r="I46">
            <v>1349401</v>
          </cell>
        </row>
        <row r="49">
          <cell r="H49">
            <v>1599933</v>
          </cell>
        </row>
        <row r="50">
          <cell r="H50">
            <v>35328</v>
          </cell>
        </row>
        <row r="51">
          <cell r="H51">
            <v>3688476</v>
          </cell>
        </row>
        <row r="53">
          <cell r="I53">
            <v>748635</v>
          </cell>
        </row>
        <row r="56">
          <cell r="H56">
            <v>7246009</v>
          </cell>
        </row>
        <row r="57">
          <cell r="H57">
            <v>322</v>
          </cell>
        </row>
        <row r="58">
          <cell r="H58">
            <v>10184379</v>
          </cell>
        </row>
        <row r="59">
          <cell r="H59">
            <v>12664605</v>
          </cell>
        </row>
        <row r="61">
          <cell r="I61">
            <v>8888545</v>
          </cell>
        </row>
        <row r="63">
          <cell r="I63">
            <v>21705592</v>
          </cell>
        </row>
        <row r="65">
          <cell r="I65">
            <v>278627</v>
          </cell>
        </row>
        <row r="67">
          <cell r="I67">
            <v>7304489</v>
          </cell>
        </row>
        <row r="73">
          <cell r="I73">
            <v>45583535</v>
          </cell>
        </row>
        <row r="77">
          <cell r="I77">
            <v>15518</v>
          </cell>
        </row>
      </sheetData>
    </sheetDataSet>
  </externalBook>
</externalLink>
</file>

<file path=xl/externalLinks/externalLink167.xml><?xml version="1.0" encoding="utf-8"?>
<externalLink xmlns="http://schemas.openxmlformats.org/spreadsheetml/2006/main">
  <externalBook xmlns:r="http://schemas.openxmlformats.org/officeDocument/2006/relationships" r:id="rId1">
    <sheetNames>
      <sheetName val="June06l&amp;a"/>
    </sheetNames>
    <sheetDataSet>
      <sheetData sheetId="0">
        <row r="19">
          <cell r="H19">
            <v>610314</v>
          </cell>
        </row>
        <row r="23">
          <cell r="H23">
            <v>293896</v>
          </cell>
        </row>
        <row r="25">
          <cell r="I25">
            <v>361159</v>
          </cell>
        </row>
        <row r="30">
          <cell r="H30">
            <v>356474</v>
          </cell>
        </row>
        <row r="31">
          <cell r="H31">
            <v>2127626</v>
          </cell>
        </row>
        <row r="32">
          <cell r="H32">
            <v>0</v>
          </cell>
        </row>
        <row r="33">
          <cell r="H33">
            <v>270923</v>
          </cell>
        </row>
        <row r="34">
          <cell r="H34">
            <v>196363</v>
          </cell>
        </row>
        <row r="35">
          <cell r="H35">
            <v>103704</v>
          </cell>
        </row>
        <row r="36">
          <cell r="H36">
            <v>211882</v>
          </cell>
        </row>
        <row r="37">
          <cell r="H37">
            <v>529967</v>
          </cell>
        </row>
        <row r="38">
          <cell r="H38">
            <v>118458</v>
          </cell>
        </row>
        <row r="39">
          <cell r="H39">
            <v>1341335</v>
          </cell>
        </row>
        <row r="42">
          <cell r="H42">
            <v>6372083</v>
          </cell>
        </row>
        <row r="43">
          <cell r="H43">
            <v>118898</v>
          </cell>
        </row>
        <row r="44">
          <cell r="H44">
            <v>270848</v>
          </cell>
        </row>
        <row r="46">
          <cell r="I46">
            <v>1317753</v>
          </cell>
        </row>
        <row r="49">
          <cell r="H49">
            <v>2119941</v>
          </cell>
        </row>
        <row r="50">
          <cell r="H50">
            <v>32988</v>
          </cell>
        </row>
        <row r="51">
          <cell r="H51">
            <v>3520516</v>
          </cell>
        </row>
        <row r="53">
          <cell r="I53">
            <v>760612</v>
          </cell>
        </row>
        <row r="56">
          <cell r="H56">
            <v>6782037</v>
          </cell>
        </row>
        <row r="57">
          <cell r="H57">
            <v>2030</v>
          </cell>
        </row>
        <row r="58">
          <cell r="H58">
            <v>11028613</v>
          </cell>
        </row>
        <row r="59">
          <cell r="H59">
            <v>13179115</v>
          </cell>
        </row>
        <row r="61">
          <cell r="I61">
            <v>10276491</v>
          </cell>
        </row>
        <row r="63">
          <cell r="I63">
            <v>21887205</v>
          </cell>
        </row>
        <row r="65">
          <cell r="I65">
            <v>289616</v>
          </cell>
        </row>
        <row r="67">
          <cell r="I67">
            <v>7540938</v>
          </cell>
        </row>
        <row r="73">
          <cell r="I73">
            <v>46784977</v>
          </cell>
        </row>
        <row r="77">
          <cell r="I77">
            <v>25858</v>
          </cell>
        </row>
      </sheetData>
    </sheetDataSet>
  </externalBook>
</externalLink>
</file>

<file path=xl/externalLinks/externalLink168.xml><?xml version="1.0" encoding="utf-8"?>
<externalLink xmlns="http://schemas.openxmlformats.org/spreadsheetml/2006/main">
  <externalBook xmlns:r="http://schemas.openxmlformats.org/officeDocument/2006/relationships" r:id="rId1">
    <sheetNames>
      <sheetName val="July06l&amp;a"/>
    </sheetNames>
    <sheetDataSet>
      <sheetData sheetId="0">
        <row r="19">
          <cell r="H19">
            <v>612132</v>
          </cell>
        </row>
        <row r="23">
          <cell r="H23">
            <v>293356</v>
          </cell>
        </row>
        <row r="25">
          <cell r="I25">
            <v>347064</v>
          </cell>
        </row>
        <row r="30">
          <cell r="H30">
            <v>311962</v>
          </cell>
        </row>
        <row r="31">
          <cell r="H31">
            <v>1854899</v>
          </cell>
        </row>
        <row r="32">
          <cell r="H32">
            <v>820</v>
          </cell>
        </row>
        <row r="33">
          <cell r="H33">
            <v>271337</v>
          </cell>
        </row>
        <row r="34">
          <cell r="H34">
            <v>203496</v>
          </cell>
        </row>
        <row r="35">
          <cell r="H35">
            <v>182425</v>
          </cell>
        </row>
        <row r="36">
          <cell r="H36">
            <v>212563</v>
          </cell>
        </row>
        <row r="37">
          <cell r="H37">
            <v>499667</v>
          </cell>
        </row>
        <row r="38">
          <cell r="H38">
            <v>96219</v>
          </cell>
        </row>
        <row r="39">
          <cell r="H39">
            <v>1568722</v>
          </cell>
        </row>
        <row r="42">
          <cell r="H42">
            <v>6669057</v>
          </cell>
        </row>
        <row r="43">
          <cell r="H43">
            <v>106086</v>
          </cell>
        </row>
        <row r="44">
          <cell r="H44">
            <v>277287</v>
          </cell>
        </row>
        <row r="46">
          <cell r="I46">
            <v>1830952</v>
          </cell>
        </row>
        <row r="49">
          <cell r="H49">
            <v>2380962</v>
          </cell>
        </row>
        <row r="50">
          <cell r="H50">
            <v>39919</v>
          </cell>
        </row>
        <row r="51">
          <cell r="H51">
            <v>2146524</v>
          </cell>
        </row>
        <row r="53">
          <cell r="I53">
            <v>893090</v>
          </cell>
        </row>
        <row r="56">
          <cell r="H56">
            <v>6499987</v>
          </cell>
        </row>
        <row r="57">
          <cell r="H57">
            <v>2698</v>
          </cell>
        </row>
        <row r="58">
          <cell r="H58">
            <v>10555594</v>
          </cell>
        </row>
        <row r="59">
          <cell r="H59">
            <v>13177080</v>
          </cell>
        </row>
        <row r="61">
          <cell r="I61">
            <v>10889252</v>
          </cell>
        </row>
        <row r="63">
          <cell r="I63">
            <v>21719952</v>
          </cell>
        </row>
        <row r="65">
          <cell r="I65">
            <v>287016</v>
          </cell>
        </row>
        <row r="67">
          <cell r="I67">
            <v>7268612</v>
          </cell>
        </row>
        <row r="73">
          <cell r="I73">
            <v>47950632</v>
          </cell>
        </row>
        <row r="77">
          <cell r="I77">
            <v>32525</v>
          </cell>
        </row>
      </sheetData>
    </sheetDataSet>
  </externalBook>
</externalLink>
</file>

<file path=xl/externalLinks/externalLink169.xml><?xml version="1.0" encoding="utf-8"?>
<externalLink xmlns="http://schemas.openxmlformats.org/spreadsheetml/2006/main">
  <externalBook xmlns:r="http://schemas.openxmlformats.org/officeDocument/2006/relationships" r:id="rId1">
    <sheetNames>
      <sheetName val="Aug06l&amp;a"/>
    </sheetNames>
    <sheetDataSet>
      <sheetData sheetId="0">
        <row r="10">
          <cell r="H10">
            <v>1351725</v>
          </cell>
        </row>
        <row r="19">
          <cell r="H19">
            <v>116241</v>
          </cell>
        </row>
        <row r="23">
          <cell r="H23">
            <v>313562</v>
          </cell>
        </row>
        <row r="25">
          <cell r="I25">
            <v>636419</v>
          </cell>
        </row>
        <row r="30">
          <cell r="H30">
            <v>316099</v>
          </cell>
        </row>
        <row r="31">
          <cell r="H31">
            <v>1876751</v>
          </cell>
        </row>
        <row r="32">
          <cell r="H32">
            <v>0</v>
          </cell>
        </row>
        <row r="33">
          <cell r="H33">
            <v>267534</v>
          </cell>
        </row>
        <row r="34">
          <cell r="H34">
            <v>196196</v>
          </cell>
        </row>
        <row r="35">
          <cell r="H35">
            <v>155806</v>
          </cell>
        </row>
        <row r="36">
          <cell r="H36">
            <v>220850</v>
          </cell>
        </row>
        <row r="37">
          <cell r="H37">
            <v>767460</v>
          </cell>
        </row>
        <row r="38">
          <cell r="H38">
            <v>64416</v>
          </cell>
        </row>
        <row r="39">
          <cell r="H39">
            <v>1622852</v>
          </cell>
        </row>
        <row r="42">
          <cell r="H42">
            <v>6391131</v>
          </cell>
        </row>
        <row r="43">
          <cell r="H43">
            <v>106920</v>
          </cell>
        </row>
        <row r="44">
          <cell r="H44">
            <v>274759</v>
          </cell>
        </row>
        <row r="46">
          <cell r="I46">
            <v>1398497</v>
          </cell>
        </row>
        <row r="49">
          <cell r="H49">
            <v>2494115</v>
          </cell>
        </row>
        <row r="50">
          <cell r="H50">
            <v>42102</v>
          </cell>
        </row>
        <row r="51">
          <cell r="H51">
            <v>1011188</v>
          </cell>
        </row>
        <row r="53">
          <cell r="I53">
            <v>129170</v>
          </cell>
        </row>
        <row r="56">
          <cell r="H56">
            <v>6450286</v>
          </cell>
        </row>
        <row r="57">
          <cell r="H57">
            <v>1979</v>
          </cell>
        </row>
        <row r="58">
          <cell r="H58">
            <v>10916641</v>
          </cell>
        </row>
        <row r="59">
          <cell r="H59">
            <v>13360910</v>
          </cell>
        </row>
        <row r="61">
          <cell r="I61">
            <v>11164100</v>
          </cell>
        </row>
        <row r="63">
          <cell r="I63">
            <v>21784637</v>
          </cell>
        </row>
        <row r="65">
          <cell r="I65">
            <v>291407</v>
          </cell>
        </row>
        <row r="67">
          <cell r="I67">
            <v>7852221</v>
          </cell>
        </row>
        <row r="73">
          <cell r="I73">
            <v>49660831</v>
          </cell>
        </row>
        <row r="77">
          <cell r="I77">
            <v>32530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eb11loa"/>
    </sheetNames>
    <sheetDataSet>
      <sheetData sheetId="0">
        <row r="10">
          <cell r="I10">
            <v>4288363</v>
          </cell>
        </row>
        <row r="19">
          <cell r="I19">
            <v>169203</v>
          </cell>
        </row>
        <row r="23">
          <cell r="I23">
            <v>1985</v>
          </cell>
        </row>
        <row r="25">
          <cell r="J25">
            <v>422179</v>
          </cell>
        </row>
        <row r="30">
          <cell r="I30">
            <v>106433</v>
          </cell>
        </row>
        <row r="31">
          <cell r="I31">
            <v>1806823</v>
          </cell>
        </row>
        <row r="32">
          <cell r="I32">
            <v>0</v>
          </cell>
        </row>
        <row r="33">
          <cell r="I33">
            <v>128899</v>
          </cell>
        </row>
        <row r="34">
          <cell r="I34">
            <v>143508</v>
          </cell>
        </row>
        <row r="35">
          <cell r="I35">
            <v>641155</v>
          </cell>
        </row>
        <row r="36">
          <cell r="I36">
            <v>383395</v>
          </cell>
        </row>
        <row r="37">
          <cell r="I37">
            <v>1036034</v>
          </cell>
        </row>
        <row r="38">
          <cell r="I38">
            <v>821438</v>
          </cell>
        </row>
        <row r="39">
          <cell r="I39">
            <v>3510939</v>
          </cell>
        </row>
        <row r="42">
          <cell r="I42">
            <v>19854191</v>
          </cell>
        </row>
        <row r="43">
          <cell r="I43">
            <v>527956</v>
          </cell>
        </row>
        <row r="44">
          <cell r="I44">
            <v>212064</v>
          </cell>
        </row>
        <row r="46">
          <cell r="J46">
            <v>1037129</v>
          </cell>
        </row>
        <row r="49">
          <cell r="I49">
            <v>4667188</v>
          </cell>
        </row>
        <row r="50">
          <cell r="I50">
            <v>283940</v>
          </cell>
        </row>
        <row r="51">
          <cell r="I51">
            <v>4214161</v>
          </cell>
        </row>
        <row r="53">
          <cell r="J53">
            <v>5490835</v>
          </cell>
        </row>
        <row r="56">
          <cell r="I56">
            <v>11027650</v>
          </cell>
        </row>
        <row r="57">
          <cell r="I57">
            <v>1746</v>
          </cell>
        </row>
        <row r="58">
          <cell r="I58">
            <v>15159308</v>
          </cell>
        </row>
        <row r="59">
          <cell r="I59">
            <v>4007392</v>
          </cell>
        </row>
        <row r="61">
          <cell r="J61">
            <v>27078267</v>
          </cell>
        </row>
        <row r="63">
          <cell r="J63">
            <v>32588187</v>
          </cell>
        </row>
        <row r="65">
          <cell r="J65">
            <v>404491</v>
          </cell>
        </row>
        <row r="67">
          <cell r="J67">
            <v>16947048</v>
          </cell>
        </row>
        <row r="73">
          <cell r="J73">
            <v>88289099</v>
          </cell>
        </row>
        <row r="77">
          <cell r="J77">
            <v>6680416</v>
          </cell>
        </row>
      </sheetData>
    </sheetDataSet>
  </externalBook>
</externalLink>
</file>

<file path=xl/externalLinks/externalLink170.xml><?xml version="1.0" encoding="utf-8"?>
<externalLink xmlns="http://schemas.openxmlformats.org/spreadsheetml/2006/main">
  <externalBook xmlns:r="http://schemas.openxmlformats.org/officeDocument/2006/relationships" r:id="rId1">
    <sheetNames>
      <sheetName val="Sep06l&amp;a"/>
    </sheetNames>
    <sheetDataSet>
      <sheetData sheetId="0">
        <row r="19">
          <cell r="H19">
            <v>116567</v>
          </cell>
        </row>
        <row r="23">
          <cell r="H23">
            <v>313270</v>
          </cell>
        </row>
        <row r="25">
          <cell r="I25">
            <v>628075</v>
          </cell>
        </row>
        <row r="30">
          <cell r="H30">
            <v>316384</v>
          </cell>
        </row>
        <row r="31">
          <cell r="H31">
            <v>3471887</v>
          </cell>
        </row>
        <row r="32">
          <cell r="H32">
            <v>0</v>
          </cell>
        </row>
        <row r="33">
          <cell r="H33">
            <v>255109</v>
          </cell>
        </row>
        <row r="34">
          <cell r="H34">
            <v>188255</v>
          </cell>
        </row>
        <row r="35">
          <cell r="H35">
            <v>150429</v>
          </cell>
        </row>
        <row r="36">
          <cell r="H36">
            <v>241436</v>
          </cell>
        </row>
        <row r="37">
          <cell r="H37">
            <v>909734</v>
          </cell>
        </row>
        <row r="38">
          <cell r="H38">
            <v>62961</v>
          </cell>
        </row>
        <row r="39">
          <cell r="H39">
            <v>1625306</v>
          </cell>
        </row>
        <row r="42">
          <cell r="H42">
            <v>6723861</v>
          </cell>
        </row>
        <row r="43">
          <cell r="H43">
            <v>119004</v>
          </cell>
        </row>
        <row r="44">
          <cell r="H44">
            <v>262212</v>
          </cell>
        </row>
        <row r="46">
          <cell r="I46">
            <v>1325228</v>
          </cell>
        </row>
        <row r="49">
          <cell r="H49">
            <v>2495371</v>
          </cell>
        </row>
        <row r="50">
          <cell r="H50">
            <v>46344</v>
          </cell>
        </row>
        <row r="51">
          <cell r="H51">
            <v>1001228</v>
          </cell>
        </row>
        <row r="53">
          <cell r="I53">
            <v>133124</v>
          </cell>
        </row>
        <row r="56">
          <cell r="H56">
            <v>5945814</v>
          </cell>
        </row>
        <row r="57">
          <cell r="H57">
            <v>3530</v>
          </cell>
        </row>
        <row r="58">
          <cell r="H58">
            <v>10999770</v>
          </cell>
        </row>
        <row r="59">
          <cell r="H59">
            <v>12081715</v>
          </cell>
        </row>
        <row r="61">
          <cell r="I61">
            <v>10300546</v>
          </cell>
        </row>
        <row r="63">
          <cell r="I63">
            <v>22098996</v>
          </cell>
        </row>
        <row r="65">
          <cell r="I65">
            <v>316517</v>
          </cell>
        </row>
        <row r="67">
          <cell r="I67">
            <v>8103720</v>
          </cell>
        </row>
        <row r="73">
          <cell r="I73">
            <v>51757052</v>
          </cell>
        </row>
        <row r="77">
          <cell r="I77">
            <v>32814</v>
          </cell>
        </row>
      </sheetData>
    </sheetDataSet>
  </externalBook>
</externalLink>
</file>

<file path=xl/externalLinks/externalLink171.xml><?xml version="1.0" encoding="utf-8"?>
<externalLink xmlns="http://schemas.openxmlformats.org/spreadsheetml/2006/main">
  <externalBook xmlns:r="http://schemas.openxmlformats.org/officeDocument/2006/relationships" r:id="rId1">
    <sheetNames>
      <sheetName val="Oct06l&amp;a"/>
    </sheetNames>
    <sheetDataSet>
      <sheetData sheetId="0">
        <row r="19">
          <cell r="H19">
            <v>110766</v>
          </cell>
        </row>
        <row r="23">
          <cell r="H23">
            <v>314970</v>
          </cell>
        </row>
        <row r="25">
          <cell r="I25">
            <v>632245</v>
          </cell>
        </row>
        <row r="30">
          <cell r="H30">
            <v>313711</v>
          </cell>
        </row>
        <row r="31">
          <cell r="H31">
            <v>3521086</v>
          </cell>
        </row>
        <row r="32">
          <cell r="H32">
            <v>0</v>
          </cell>
        </row>
        <row r="33">
          <cell r="H33">
            <v>262522</v>
          </cell>
        </row>
        <row r="34">
          <cell r="H34">
            <v>200635</v>
          </cell>
        </row>
        <row r="35">
          <cell r="H35">
            <v>162770</v>
          </cell>
        </row>
        <row r="36">
          <cell r="H36">
            <v>235042</v>
          </cell>
        </row>
        <row r="37">
          <cell r="H37">
            <v>957604</v>
          </cell>
        </row>
        <row r="38">
          <cell r="H38">
            <v>65251</v>
          </cell>
        </row>
        <row r="39">
          <cell r="H39">
            <v>1556510</v>
          </cell>
        </row>
        <row r="42">
          <cell r="H42">
            <v>6967800</v>
          </cell>
        </row>
        <row r="43">
          <cell r="H43">
            <v>116188</v>
          </cell>
        </row>
        <row r="44">
          <cell r="H44">
            <v>259668</v>
          </cell>
        </row>
        <row r="46">
          <cell r="I46">
            <v>1315045</v>
          </cell>
        </row>
        <row r="49">
          <cell r="H49">
            <v>2527257</v>
          </cell>
        </row>
        <row r="50">
          <cell r="H50">
            <v>44094</v>
          </cell>
        </row>
        <row r="51">
          <cell r="H51">
            <v>1015428</v>
          </cell>
        </row>
        <row r="53">
          <cell r="I53">
            <v>115389</v>
          </cell>
        </row>
        <row r="56">
          <cell r="H56">
            <v>6040221</v>
          </cell>
        </row>
        <row r="57">
          <cell r="H57">
            <v>920</v>
          </cell>
        </row>
        <row r="58">
          <cell r="H58">
            <v>9689868</v>
          </cell>
        </row>
        <row r="59">
          <cell r="H59">
            <v>11434837</v>
          </cell>
        </row>
        <row r="61">
          <cell r="I61">
            <v>10003616</v>
          </cell>
        </row>
        <row r="63">
          <cell r="I63">
            <v>22542899</v>
          </cell>
        </row>
        <row r="65">
          <cell r="I65">
            <v>304530</v>
          </cell>
        </row>
        <row r="67">
          <cell r="I67">
            <v>7958618</v>
          </cell>
        </row>
        <row r="73">
          <cell r="I73">
            <v>52820464</v>
          </cell>
        </row>
        <row r="77">
          <cell r="I77">
            <v>37583</v>
          </cell>
        </row>
      </sheetData>
    </sheetDataSet>
  </externalBook>
</externalLink>
</file>

<file path=xl/externalLinks/externalLink172.xml><?xml version="1.0" encoding="utf-8"?>
<externalLink xmlns="http://schemas.openxmlformats.org/spreadsheetml/2006/main">
  <externalBook xmlns:r="http://schemas.openxmlformats.org/officeDocument/2006/relationships" r:id="rId1">
    <sheetNames>
      <sheetName val="Nov06l&amp;a"/>
    </sheetNames>
    <sheetDataSet>
      <sheetData sheetId="0">
        <row r="19">
          <cell r="H19">
            <v>140806</v>
          </cell>
        </row>
        <row r="23">
          <cell r="H23">
            <v>316768</v>
          </cell>
        </row>
        <row r="25">
          <cell r="I25">
            <v>634901</v>
          </cell>
        </row>
        <row r="30">
          <cell r="H30">
            <v>311753</v>
          </cell>
        </row>
        <row r="31">
          <cell r="H31">
            <v>1876263</v>
          </cell>
        </row>
        <row r="32">
          <cell r="H32">
            <v>0</v>
          </cell>
        </row>
        <row r="33">
          <cell r="H33">
            <v>279594</v>
          </cell>
        </row>
        <row r="34">
          <cell r="H34">
            <v>195899</v>
          </cell>
        </row>
        <row r="35">
          <cell r="H35">
            <v>151745</v>
          </cell>
        </row>
        <row r="36">
          <cell r="H36">
            <v>264347</v>
          </cell>
        </row>
        <row r="37">
          <cell r="H37">
            <v>915073</v>
          </cell>
        </row>
        <row r="38">
          <cell r="H38">
            <v>66623</v>
          </cell>
        </row>
        <row r="39">
          <cell r="H39">
            <v>1658011</v>
          </cell>
        </row>
        <row r="42">
          <cell r="H42">
            <v>7282412</v>
          </cell>
        </row>
        <row r="43">
          <cell r="H43">
            <v>126444</v>
          </cell>
        </row>
        <row r="44">
          <cell r="H44">
            <v>257894</v>
          </cell>
        </row>
        <row r="46">
          <cell r="I46">
            <v>1346776</v>
          </cell>
        </row>
        <row r="49">
          <cell r="H49">
            <v>2546374</v>
          </cell>
        </row>
        <row r="50">
          <cell r="H50">
            <v>39755</v>
          </cell>
        </row>
        <row r="51">
          <cell r="H51">
            <v>1011596</v>
          </cell>
        </row>
        <row r="53">
          <cell r="I53">
            <v>190588</v>
          </cell>
        </row>
        <row r="56">
          <cell r="H56">
            <v>6047222</v>
          </cell>
        </row>
        <row r="57">
          <cell r="H57">
            <v>6942</v>
          </cell>
        </row>
        <row r="58">
          <cell r="H58">
            <v>10163008</v>
          </cell>
        </row>
        <row r="59">
          <cell r="H59">
            <v>12110242</v>
          </cell>
        </row>
        <row r="61">
          <cell r="I61">
            <v>11178681</v>
          </cell>
        </row>
        <row r="63">
          <cell r="I63">
            <v>24018207</v>
          </cell>
        </row>
        <row r="65">
          <cell r="I65">
            <v>377588</v>
          </cell>
        </row>
        <row r="67">
          <cell r="I67">
            <v>8315049</v>
          </cell>
        </row>
        <row r="73">
          <cell r="I73">
            <v>54241936</v>
          </cell>
        </row>
        <row r="77">
          <cell r="I77">
            <v>36679</v>
          </cell>
        </row>
      </sheetData>
    </sheetDataSet>
  </externalBook>
</externalLink>
</file>

<file path=xl/externalLinks/externalLink173.xml><?xml version="1.0" encoding="utf-8"?>
<externalLink xmlns="http://schemas.openxmlformats.org/spreadsheetml/2006/main">
  <externalBook xmlns:r="http://schemas.openxmlformats.org/officeDocument/2006/relationships" r:id="rId1">
    <sheetNames>
      <sheetName val="Dec06l&amp;a"/>
    </sheetNames>
    <sheetDataSet>
      <sheetData sheetId="0">
        <row r="19">
          <cell r="H19">
            <v>144781</v>
          </cell>
        </row>
        <row r="23">
          <cell r="H23">
            <v>317079</v>
          </cell>
        </row>
        <row r="25">
          <cell r="I25">
            <v>643469</v>
          </cell>
        </row>
        <row r="30">
          <cell r="H30">
            <v>285618</v>
          </cell>
        </row>
        <row r="31">
          <cell r="H31">
            <v>3538995</v>
          </cell>
        </row>
        <row r="32">
          <cell r="H32">
            <v>0</v>
          </cell>
        </row>
        <row r="33">
          <cell r="H33">
            <v>268972</v>
          </cell>
        </row>
        <row r="34">
          <cell r="H34">
            <v>188159</v>
          </cell>
        </row>
        <row r="35">
          <cell r="H35">
            <v>130708</v>
          </cell>
        </row>
        <row r="36">
          <cell r="H36">
            <v>271784</v>
          </cell>
        </row>
        <row r="37">
          <cell r="H37">
            <v>869018</v>
          </cell>
        </row>
        <row r="38">
          <cell r="H38">
            <v>70450</v>
          </cell>
        </row>
        <row r="39">
          <cell r="H39">
            <v>1910857</v>
          </cell>
        </row>
        <row r="42">
          <cell r="H42">
            <v>7586534</v>
          </cell>
        </row>
        <row r="43">
          <cell r="H43">
            <v>204380</v>
          </cell>
        </row>
        <row r="44">
          <cell r="H44">
            <v>254623</v>
          </cell>
        </row>
        <row r="46">
          <cell r="I46">
            <v>1425759</v>
          </cell>
        </row>
        <row r="49">
          <cell r="H49">
            <v>2647328</v>
          </cell>
        </row>
        <row r="50">
          <cell r="H50">
            <v>38498</v>
          </cell>
        </row>
        <row r="51">
          <cell r="H51">
            <v>1019926</v>
          </cell>
        </row>
        <row r="53">
          <cell r="I53">
            <v>190098</v>
          </cell>
        </row>
        <row r="56">
          <cell r="H56">
            <v>5934608</v>
          </cell>
        </row>
        <row r="57">
          <cell r="H57">
            <v>941</v>
          </cell>
        </row>
        <row r="58">
          <cell r="H58">
            <v>10223061</v>
          </cell>
        </row>
        <row r="59">
          <cell r="H59">
            <v>11778369</v>
          </cell>
        </row>
        <row r="61">
          <cell r="I61">
            <v>11900443</v>
          </cell>
        </row>
        <row r="63">
          <cell r="I63">
            <v>24282298</v>
          </cell>
        </row>
        <row r="65">
          <cell r="I65">
            <v>291237</v>
          </cell>
        </row>
        <row r="67">
          <cell r="I67">
            <v>9237159</v>
          </cell>
        </row>
        <row r="73">
          <cell r="I73">
            <v>55921595</v>
          </cell>
        </row>
        <row r="77">
          <cell r="I77">
            <v>35896</v>
          </cell>
        </row>
      </sheetData>
    </sheetDataSet>
  </externalBook>
</externalLink>
</file>

<file path=xl/externalLinks/externalLink174.xml><?xml version="1.0" encoding="utf-8"?>
<externalLink xmlns="http://schemas.openxmlformats.org/spreadsheetml/2006/main">
  <externalBook xmlns:r="http://schemas.openxmlformats.org/officeDocument/2006/relationships" r:id="rId1">
    <sheetNames>
      <sheetName val="Jan07loa"/>
      <sheetName val="Jan07l&amp;a"/>
    </sheetNames>
    <sheetDataSet>
      <sheetData sheetId="0">
        <row r="19">
          <cell r="H19">
            <v>131377</v>
          </cell>
        </row>
        <row r="23">
          <cell r="H23">
            <v>319155</v>
          </cell>
        </row>
        <row r="25">
          <cell r="I25">
            <v>622673</v>
          </cell>
        </row>
        <row r="30">
          <cell r="H30">
            <v>275095</v>
          </cell>
        </row>
        <row r="31">
          <cell r="H31">
            <v>1883379</v>
          </cell>
        </row>
        <row r="32">
          <cell r="H32">
            <v>0</v>
          </cell>
        </row>
        <row r="33">
          <cell r="H33">
            <v>274117</v>
          </cell>
        </row>
        <row r="34">
          <cell r="H34">
            <v>182913</v>
          </cell>
        </row>
        <row r="35">
          <cell r="H35">
            <v>140464</v>
          </cell>
        </row>
        <row r="36">
          <cell r="H36">
            <v>268341</v>
          </cell>
        </row>
        <row r="37">
          <cell r="H37">
            <v>884912</v>
          </cell>
        </row>
        <row r="38">
          <cell r="H38">
            <v>57573</v>
          </cell>
        </row>
        <row r="39">
          <cell r="H39">
            <v>1716195</v>
          </cell>
        </row>
        <row r="42">
          <cell r="H42">
            <v>7911698</v>
          </cell>
        </row>
        <row r="43">
          <cell r="H43">
            <v>194375</v>
          </cell>
        </row>
        <row r="44">
          <cell r="H44">
            <v>252143</v>
          </cell>
        </row>
        <row r="46">
          <cell r="I46">
            <v>1320913</v>
          </cell>
        </row>
        <row r="49">
          <cell r="H49">
            <v>2881269</v>
          </cell>
        </row>
        <row r="50">
          <cell r="H50">
            <v>30559</v>
          </cell>
        </row>
        <row r="51">
          <cell r="H51">
            <v>1037185</v>
          </cell>
        </row>
        <row r="53">
          <cell r="I53">
            <v>134013</v>
          </cell>
        </row>
        <row r="56">
          <cell r="H56">
            <v>5301375</v>
          </cell>
        </row>
        <row r="57">
          <cell r="H57">
            <v>2652</v>
          </cell>
        </row>
        <row r="58">
          <cell r="H58">
            <v>9364393</v>
          </cell>
        </row>
        <row r="59">
          <cell r="H59">
            <v>12678382</v>
          </cell>
        </row>
        <row r="61">
          <cell r="I61">
            <v>17246894</v>
          </cell>
        </row>
        <row r="63">
          <cell r="I63">
            <v>24297641</v>
          </cell>
        </row>
        <row r="65">
          <cell r="I65">
            <v>277732</v>
          </cell>
        </row>
        <row r="67">
          <cell r="I67">
            <v>9007468</v>
          </cell>
        </row>
        <row r="73">
          <cell r="I73">
            <v>56326478</v>
          </cell>
        </row>
        <row r="77">
          <cell r="I77">
            <v>31838</v>
          </cell>
        </row>
      </sheetData>
    </sheetDataSet>
  </externalBook>
</externalLink>
</file>

<file path=xl/externalLinks/externalLink175.xml><?xml version="1.0" encoding="utf-8"?>
<externalLink xmlns="http://schemas.openxmlformats.org/spreadsheetml/2006/main">
  <externalBook xmlns:r="http://schemas.openxmlformats.org/officeDocument/2006/relationships" r:id="rId1">
    <sheetNames>
      <sheetName val="Feb07l&amp;a"/>
    </sheetNames>
    <sheetDataSet>
      <sheetData sheetId="0">
        <row r="19">
          <cell r="H19">
            <v>133253</v>
          </cell>
        </row>
        <row r="23">
          <cell r="H23">
            <v>428646</v>
          </cell>
        </row>
        <row r="25">
          <cell r="I25">
            <v>616760</v>
          </cell>
        </row>
        <row r="30">
          <cell r="H30">
            <v>265671</v>
          </cell>
        </row>
        <row r="31">
          <cell r="H31">
            <v>1833683</v>
          </cell>
        </row>
        <row r="32">
          <cell r="H32">
            <v>0</v>
          </cell>
        </row>
        <row r="33">
          <cell r="H33">
            <v>284609</v>
          </cell>
        </row>
        <row r="34">
          <cell r="H34">
            <v>170063</v>
          </cell>
        </row>
        <row r="35">
          <cell r="H35">
            <v>138101</v>
          </cell>
        </row>
        <row r="36">
          <cell r="H36">
            <v>274977</v>
          </cell>
        </row>
        <row r="37">
          <cell r="H37">
            <v>1261422</v>
          </cell>
        </row>
        <row r="38">
          <cell r="H38">
            <v>60429</v>
          </cell>
        </row>
        <row r="39">
          <cell r="H39">
            <v>1753446</v>
          </cell>
        </row>
        <row r="42">
          <cell r="H42">
            <v>8072190</v>
          </cell>
        </row>
        <row r="43">
          <cell r="H43">
            <v>257523</v>
          </cell>
        </row>
        <row r="44">
          <cell r="H44">
            <v>250024</v>
          </cell>
        </row>
        <row r="46">
          <cell r="I46">
            <v>1328092</v>
          </cell>
        </row>
        <row r="49">
          <cell r="H49">
            <v>2890742</v>
          </cell>
        </row>
        <row r="50">
          <cell r="H50">
            <v>33929</v>
          </cell>
        </row>
        <row r="51">
          <cell r="H51">
            <v>1060131</v>
          </cell>
        </row>
        <row r="53">
          <cell r="I53">
            <v>112372</v>
          </cell>
        </row>
        <row r="56">
          <cell r="H56">
            <v>5579460</v>
          </cell>
        </row>
        <row r="57">
          <cell r="H57">
            <v>223</v>
          </cell>
        </row>
        <row r="58">
          <cell r="H58">
            <v>11090681</v>
          </cell>
        </row>
        <row r="59">
          <cell r="H59">
            <v>12835492</v>
          </cell>
        </row>
        <row r="61">
          <cell r="I61">
            <v>17280266</v>
          </cell>
        </row>
        <row r="63">
          <cell r="I63">
            <v>24294683</v>
          </cell>
        </row>
        <row r="65">
          <cell r="I65">
            <v>290518</v>
          </cell>
        </row>
        <row r="67">
          <cell r="I67">
            <v>9325986</v>
          </cell>
        </row>
        <row r="73">
          <cell r="I73">
            <v>57484621</v>
          </cell>
        </row>
        <row r="77">
          <cell r="I77">
            <v>30435</v>
          </cell>
        </row>
      </sheetData>
    </sheetDataSet>
  </externalBook>
</externalLink>
</file>

<file path=xl/externalLinks/externalLink176.xml><?xml version="1.0" encoding="utf-8"?>
<externalLink xmlns="http://schemas.openxmlformats.org/spreadsheetml/2006/main">
  <externalBook xmlns:r="http://schemas.openxmlformats.org/officeDocument/2006/relationships" r:id="rId1">
    <sheetNames>
      <sheetName val="Mar07l&amp;a"/>
    </sheetNames>
    <sheetDataSet>
      <sheetData sheetId="0">
        <row r="19">
          <cell r="H19">
            <v>125332</v>
          </cell>
        </row>
        <row r="23">
          <cell r="H23">
            <v>428811</v>
          </cell>
        </row>
        <row r="25">
          <cell r="I25">
            <v>602846</v>
          </cell>
        </row>
        <row r="30">
          <cell r="H30">
            <v>257572</v>
          </cell>
        </row>
        <row r="31">
          <cell r="H31">
            <v>1936661</v>
          </cell>
        </row>
        <row r="32">
          <cell r="H32">
            <v>0</v>
          </cell>
        </row>
        <row r="33">
          <cell r="H33">
            <v>270916</v>
          </cell>
        </row>
        <row r="34">
          <cell r="H34">
            <v>174981</v>
          </cell>
        </row>
        <row r="35">
          <cell r="H35">
            <v>128939</v>
          </cell>
        </row>
        <row r="36">
          <cell r="H36">
            <v>271689</v>
          </cell>
        </row>
        <row r="37">
          <cell r="H37">
            <v>1168950</v>
          </cell>
        </row>
        <row r="38">
          <cell r="H38">
            <v>58010</v>
          </cell>
        </row>
        <row r="39">
          <cell r="H39">
            <v>1695697</v>
          </cell>
        </row>
        <row r="42">
          <cell r="H42">
            <v>8798355</v>
          </cell>
        </row>
        <row r="43">
          <cell r="H43">
            <v>291249</v>
          </cell>
        </row>
        <row r="44">
          <cell r="H44">
            <v>248178</v>
          </cell>
        </row>
        <row r="46">
          <cell r="I46">
            <v>892780</v>
          </cell>
        </row>
        <row r="49">
          <cell r="H49">
            <v>3071058</v>
          </cell>
        </row>
        <row r="50">
          <cell r="H50">
            <v>43690</v>
          </cell>
        </row>
        <row r="51">
          <cell r="H51">
            <v>1784900</v>
          </cell>
        </row>
        <row r="53">
          <cell r="I53">
            <v>123679</v>
          </cell>
        </row>
        <row r="56">
          <cell r="H56">
            <v>5197035</v>
          </cell>
        </row>
        <row r="57">
          <cell r="H57">
            <v>977</v>
          </cell>
        </row>
        <row r="58">
          <cell r="H58">
            <v>11457261</v>
          </cell>
        </row>
        <row r="59">
          <cell r="H59">
            <v>13824258</v>
          </cell>
        </row>
        <row r="61">
          <cell r="I61">
            <v>16358611</v>
          </cell>
        </row>
        <row r="63">
          <cell r="I63">
            <v>24010618</v>
          </cell>
        </row>
        <row r="65">
          <cell r="I65">
            <v>284025</v>
          </cell>
        </row>
        <row r="67">
          <cell r="I67">
            <v>9745700</v>
          </cell>
        </row>
        <row r="73">
          <cell r="I73">
            <v>58719613</v>
          </cell>
        </row>
        <row r="77">
          <cell r="I77">
            <v>27806</v>
          </cell>
        </row>
      </sheetData>
    </sheetDataSet>
  </externalBook>
</externalLink>
</file>

<file path=xl/externalLinks/externalLink177.xml><?xml version="1.0" encoding="utf-8"?>
<externalLink xmlns="http://schemas.openxmlformats.org/spreadsheetml/2006/main">
  <externalBook xmlns:r="http://schemas.openxmlformats.org/officeDocument/2006/relationships" r:id="rId1">
    <sheetNames>
      <sheetName val="Apr07l&amp;a"/>
    </sheetNames>
    <sheetDataSet>
      <sheetData sheetId="0">
        <row r="10">
          <cell r="H10">
            <v>2180783</v>
          </cell>
        </row>
        <row r="19">
          <cell r="H19">
            <v>122862</v>
          </cell>
        </row>
        <row r="23">
          <cell r="H23">
            <v>192226</v>
          </cell>
        </row>
        <row r="25">
          <cell r="I25">
            <v>596583</v>
          </cell>
        </row>
        <row r="30">
          <cell r="H30">
            <v>269993</v>
          </cell>
        </row>
        <row r="31">
          <cell r="H31">
            <v>1948466</v>
          </cell>
        </row>
        <row r="32">
          <cell r="H32">
            <v>1014</v>
          </cell>
        </row>
        <row r="33">
          <cell r="H33">
            <v>268264</v>
          </cell>
        </row>
        <row r="34">
          <cell r="H34">
            <v>161992</v>
          </cell>
        </row>
        <row r="35">
          <cell r="H35">
            <v>124854</v>
          </cell>
        </row>
        <row r="36">
          <cell r="H36">
            <v>271484</v>
          </cell>
        </row>
        <row r="37">
          <cell r="H37">
            <v>927968</v>
          </cell>
        </row>
        <row r="38">
          <cell r="H38">
            <v>53357</v>
          </cell>
        </row>
        <row r="39">
          <cell r="H39">
            <v>1736341</v>
          </cell>
        </row>
        <row r="42">
          <cell r="H42">
            <v>9219874</v>
          </cell>
        </row>
        <row r="43">
          <cell r="H43">
            <v>322850</v>
          </cell>
        </row>
        <row r="44">
          <cell r="H44">
            <v>246417</v>
          </cell>
        </row>
        <row r="46">
          <cell r="I46">
            <v>890590</v>
          </cell>
        </row>
        <row r="49">
          <cell r="H49">
            <v>3191468</v>
          </cell>
        </row>
        <row r="50">
          <cell r="H50">
            <v>50111</v>
          </cell>
        </row>
        <row r="51">
          <cell r="H51">
            <v>1953520</v>
          </cell>
        </row>
        <row r="53">
          <cell r="I53">
            <v>99494</v>
          </cell>
        </row>
        <row r="56">
          <cell r="H56">
            <v>5197544</v>
          </cell>
        </row>
        <row r="57">
          <cell r="H57">
            <v>161</v>
          </cell>
        </row>
        <row r="58">
          <cell r="H58">
            <v>9711771</v>
          </cell>
        </row>
        <row r="59">
          <cell r="H59">
            <v>13260314</v>
          </cell>
        </row>
        <row r="61">
          <cell r="I61">
            <v>16400068</v>
          </cell>
        </row>
        <row r="63">
          <cell r="I63">
            <v>23323270</v>
          </cell>
        </row>
        <row r="65">
          <cell r="I65">
            <v>277574</v>
          </cell>
        </row>
        <row r="67">
          <cell r="I67">
            <v>10380574</v>
          </cell>
        </row>
        <row r="73">
          <cell r="I73">
            <v>59797066</v>
          </cell>
        </row>
        <row r="77">
          <cell r="I77">
            <v>38101</v>
          </cell>
        </row>
      </sheetData>
    </sheetDataSet>
  </externalBook>
</externalLink>
</file>

<file path=xl/externalLinks/externalLink178.xml><?xml version="1.0" encoding="utf-8"?>
<externalLink xmlns="http://schemas.openxmlformats.org/spreadsheetml/2006/main">
  <externalBook xmlns:r="http://schemas.openxmlformats.org/officeDocument/2006/relationships" r:id="rId1">
    <sheetNames>
      <sheetName val="May07l&amp;a"/>
    </sheetNames>
    <sheetDataSet>
      <sheetData sheetId="0">
        <row r="19">
          <cell r="H19">
            <v>136634</v>
          </cell>
        </row>
        <row r="23">
          <cell r="H23">
            <v>108021</v>
          </cell>
        </row>
        <row r="25">
          <cell r="I25">
            <v>564995</v>
          </cell>
        </row>
        <row r="30">
          <cell r="H30">
            <v>267400</v>
          </cell>
        </row>
        <row r="31">
          <cell r="H31">
            <v>1475739</v>
          </cell>
        </row>
        <row r="32">
          <cell r="H32">
            <v>0</v>
          </cell>
        </row>
        <row r="33">
          <cell r="H33">
            <v>276581</v>
          </cell>
        </row>
        <row r="34">
          <cell r="H34">
            <v>172311</v>
          </cell>
        </row>
        <row r="35">
          <cell r="H35">
            <v>133297</v>
          </cell>
        </row>
        <row r="36">
          <cell r="H36">
            <v>271295</v>
          </cell>
        </row>
        <row r="37">
          <cell r="H37">
            <v>918606</v>
          </cell>
        </row>
        <row r="38">
          <cell r="H38">
            <v>59004</v>
          </cell>
        </row>
        <row r="39">
          <cell r="H39">
            <v>1711436</v>
          </cell>
        </row>
        <row r="42">
          <cell r="H42">
            <v>8840941</v>
          </cell>
        </row>
        <row r="43">
          <cell r="H43">
            <v>367896</v>
          </cell>
        </row>
        <row r="44">
          <cell r="H44">
            <v>288230</v>
          </cell>
        </row>
        <row r="46">
          <cell r="I46">
            <v>720192</v>
          </cell>
        </row>
        <row r="49">
          <cell r="H49">
            <v>3178482</v>
          </cell>
        </row>
        <row r="50">
          <cell r="H50">
            <v>41798</v>
          </cell>
        </row>
        <row r="51">
          <cell r="H51">
            <v>2791491</v>
          </cell>
        </row>
        <row r="53">
          <cell r="I53">
            <v>114344</v>
          </cell>
        </row>
        <row r="56">
          <cell r="H56">
            <v>5243089</v>
          </cell>
        </row>
        <row r="57">
          <cell r="H57">
            <v>0</v>
          </cell>
        </row>
        <row r="58">
          <cell r="H58">
            <v>10795989</v>
          </cell>
        </row>
        <row r="59">
          <cell r="H59">
            <v>13877889</v>
          </cell>
        </row>
        <row r="61">
          <cell r="I61">
            <v>17140762</v>
          </cell>
        </row>
        <row r="63">
          <cell r="I63">
            <v>24194256</v>
          </cell>
        </row>
        <row r="65">
          <cell r="I65">
            <v>299397</v>
          </cell>
        </row>
        <row r="67">
          <cell r="I67">
            <v>10652411</v>
          </cell>
        </row>
        <row r="73">
          <cell r="I73">
            <v>60813086</v>
          </cell>
        </row>
        <row r="77">
          <cell r="I77">
            <v>43235</v>
          </cell>
        </row>
      </sheetData>
    </sheetDataSet>
  </externalBook>
</externalLink>
</file>

<file path=xl/externalLinks/externalLink179.xml><?xml version="1.0" encoding="utf-8"?>
<externalLink xmlns="http://schemas.openxmlformats.org/spreadsheetml/2006/main">
  <externalBook xmlns:r="http://schemas.openxmlformats.org/officeDocument/2006/relationships" r:id="rId1">
    <sheetNames>
      <sheetName val="Jun07l&amp;a"/>
    </sheetNames>
    <sheetDataSet>
      <sheetData sheetId="0">
        <row r="19">
          <cell r="H19">
            <v>138185</v>
          </cell>
        </row>
        <row r="23">
          <cell r="H23">
            <v>108059</v>
          </cell>
        </row>
        <row r="25">
          <cell r="I25">
            <v>566872</v>
          </cell>
        </row>
        <row r="30">
          <cell r="H30">
            <v>263515</v>
          </cell>
        </row>
        <row r="31">
          <cell r="H31">
            <v>1503569</v>
          </cell>
        </row>
        <row r="32">
          <cell r="H32">
            <v>0</v>
          </cell>
        </row>
        <row r="33">
          <cell r="H33">
            <v>134905</v>
          </cell>
        </row>
        <row r="34">
          <cell r="H34">
            <v>181009</v>
          </cell>
        </row>
        <row r="35">
          <cell r="H35">
            <v>133230</v>
          </cell>
        </row>
        <row r="36">
          <cell r="H36">
            <v>263870</v>
          </cell>
        </row>
        <row r="37">
          <cell r="H37">
            <v>898704</v>
          </cell>
        </row>
        <row r="38">
          <cell r="H38">
            <v>88211</v>
          </cell>
        </row>
        <row r="39">
          <cell r="H39">
            <v>2017019</v>
          </cell>
        </row>
        <row r="42">
          <cell r="H42">
            <v>9414103</v>
          </cell>
        </row>
        <row r="43">
          <cell r="H43">
            <v>377133</v>
          </cell>
        </row>
        <row r="44">
          <cell r="H44">
            <v>286275</v>
          </cell>
        </row>
        <row r="46">
          <cell r="I46">
            <v>743875</v>
          </cell>
        </row>
        <row r="49">
          <cell r="H49">
            <v>3498163</v>
          </cell>
        </row>
        <row r="50">
          <cell r="H50">
            <v>29991</v>
          </cell>
        </row>
        <row r="51">
          <cell r="H51">
            <v>2783962</v>
          </cell>
        </row>
        <row r="53">
          <cell r="I53">
            <v>176324</v>
          </cell>
        </row>
        <row r="56">
          <cell r="H56">
            <v>5366477</v>
          </cell>
        </row>
        <row r="57">
          <cell r="H57">
            <v>0</v>
          </cell>
        </row>
        <row r="58">
          <cell r="H58">
            <v>11610065</v>
          </cell>
        </row>
        <row r="59">
          <cell r="H59">
            <v>14022576</v>
          </cell>
        </row>
        <row r="61">
          <cell r="I61">
            <v>17467261</v>
          </cell>
        </row>
        <row r="63">
          <cell r="I63">
            <v>24668034</v>
          </cell>
        </row>
        <row r="65">
          <cell r="I65">
            <v>303739</v>
          </cell>
        </row>
        <row r="67">
          <cell r="I67">
            <v>10774052</v>
          </cell>
        </row>
        <row r="73">
          <cell r="I73">
            <v>62916050</v>
          </cell>
        </row>
        <row r="77">
          <cell r="I77">
            <v>53373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r11loa"/>
    </sheetNames>
    <sheetDataSet>
      <sheetData sheetId="0">
        <row r="10">
          <cell r="I10">
            <v>4253042</v>
          </cell>
        </row>
        <row r="19">
          <cell r="I19">
            <v>165553</v>
          </cell>
        </row>
        <row r="23">
          <cell r="I23">
            <v>1882</v>
          </cell>
        </row>
        <row r="25">
          <cell r="J25">
            <v>431743</v>
          </cell>
        </row>
        <row r="30">
          <cell r="I30">
            <v>105491</v>
          </cell>
        </row>
        <row r="31">
          <cell r="I31">
            <v>1804557</v>
          </cell>
        </row>
        <row r="32">
          <cell r="I32">
            <v>0</v>
          </cell>
        </row>
        <row r="33">
          <cell r="I33">
            <v>102132</v>
          </cell>
        </row>
        <row r="34">
          <cell r="I34">
            <v>140747</v>
          </cell>
        </row>
        <row r="35">
          <cell r="I35">
            <v>641835</v>
          </cell>
        </row>
        <row r="36">
          <cell r="I36">
            <v>238367</v>
          </cell>
        </row>
        <row r="37">
          <cell r="I37">
            <v>1020913</v>
          </cell>
        </row>
        <row r="38">
          <cell r="I38">
            <v>814393</v>
          </cell>
        </row>
        <row r="39">
          <cell r="I39">
            <v>3608358</v>
          </cell>
        </row>
        <row r="42">
          <cell r="I42">
            <v>19259281</v>
          </cell>
        </row>
        <row r="43">
          <cell r="I43">
            <v>520640</v>
          </cell>
        </row>
        <row r="44">
          <cell r="I44">
            <v>209835</v>
          </cell>
        </row>
        <row r="46">
          <cell r="J46">
            <v>933726</v>
          </cell>
        </row>
        <row r="49">
          <cell r="I49">
            <v>4562463</v>
          </cell>
        </row>
        <row r="50">
          <cell r="I50">
            <v>284593</v>
          </cell>
        </row>
        <row r="51">
          <cell r="I51">
            <v>4070899</v>
          </cell>
        </row>
        <row r="53">
          <cell r="J53">
            <v>6026621</v>
          </cell>
        </row>
        <row r="56">
          <cell r="I56">
            <v>10878597</v>
          </cell>
        </row>
        <row r="57">
          <cell r="I57">
            <v>1097</v>
          </cell>
        </row>
        <row r="58">
          <cell r="I58">
            <v>12897188</v>
          </cell>
        </row>
        <row r="59">
          <cell r="I59">
            <v>3908976</v>
          </cell>
        </row>
        <row r="61">
          <cell r="J61">
            <v>28000269</v>
          </cell>
        </row>
        <row r="63">
          <cell r="J63">
            <v>30602492</v>
          </cell>
        </row>
        <row r="65">
          <cell r="J65">
            <v>418437</v>
          </cell>
        </row>
        <row r="67">
          <cell r="J67">
            <v>17566371</v>
          </cell>
        </row>
        <row r="73">
          <cell r="J73">
            <v>88710896</v>
          </cell>
        </row>
        <row r="77">
          <cell r="J77">
            <v>6742854</v>
          </cell>
        </row>
      </sheetData>
    </sheetDataSet>
  </externalBook>
</externalLink>
</file>

<file path=xl/externalLinks/externalLink180.xml><?xml version="1.0" encoding="utf-8"?>
<externalLink xmlns="http://schemas.openxmlformats.org/spreadsheetml/2006/main">
  <externalBook xmlns:r="http://schemas.openxmlformats.org/officeDocument/2006/relationships" r:id="rId1">
    <sheetNames>
      <sheetName val="July07l&amp;a"/>
      <sheetName val="Jul07l&amp;a"/>
    </sheetNames>
    <sheetDataSet>
      <sheetData sheetId="0">
        <row r="19">
          <cell r="H19">
            <v>137859</v>
          </cell>
        </row>
        <row r="23">
          <cell r="H23">
            <v>108127</v>
          </cell>
        </row>
        <row r="25">
          <cell r="I25">
            <v>571289</v>
          </cell>
        </row>
        <row r="30">
          <cell r="H30">
            <v>259487</v>
          </cell>
        </row>
        <row r="31">
          <cell r="H31">
            <v>1444866</v>
          </cell>
        </row>
        <row r="32">
          <cell r="H32">
            <v>0</v>
          </cell>
        </row>
        <row r="33">
          <cell r="H33">
            <v>110960</v>
          </cell>
        </row>
        <row r="34">
          <cell r="H34">
            <v>156775</v>
          </cell>
        </row>
        <row r="35">
          <cell r="H35">
            <v>131724</v>
          </cell>
        </row>
        <row r="36">
          <cell r="H36">
            <v>266338</v>
          </cell>
        </row>
        <row r="37">
          <cell r="H37">
            <v>899231</v>
          </cell>
        </row>
        <row r="38">
          <cell r="H38">
            <v>75698</v>
          </cell>
        </row>
        <row r="39">
          <cell r="H39">
            <v>2035512</v>
          </cell>
        </row>
        <row r="42">
          <cell r="H42">
            <v>9343050</v>
          </cell>
        </row>
        <row r="43">
          <cell r="H43">
            <v>403432</v>
          </cell>
        </row>
        <row r="44">
          <cell r="H44">
            <v>286769</v>
          </cell>
        </row>
        <row r="46">
          <cell r="I46">
            <v>708385</v>
          </cell>
        </row>
        <row r="49">
          <cell r="H49">
            <v>4257852</v>
          </cell>
        </row>
        <row r="50">
          <cell r="H50">
            <v>27868</v>
          </cell>
        </row>
        <row r="51">
          <cell r="H51">
            <v>3260020</v>
          </cell>
        </row>
        <row r="53">
          <cell r="I53">
            <v>128031</v>
          </cell>
        </row>
        <row r="56">
          <cell r="H56">
            <v>5253229</v>
          </cell>
        </row>
        <row r="57">
          <cell r="H57">
            <v>1731</v>
          </cell>
        </row>
        <row r="58">
          <cell r="H58">
            <v>11877761</v>
          </cell>
        </row>
        <row r="59">
          <cell r="H59">
            <v>13572386</v>
          </cell>
        </row>
        <row r="61">
          <cell r="I61">
            <v>17496791</v>
          </cell>
        </row>
        <row r="63">
          <cell r="I63">
            <v>24963535</v>
          </cell>
        </row>
        <row r="65">
          <cell r="I65">
            <v>288877</v>
          </cell>
        </row>
        <row r="67">
          <cell r="I67">
            <v>10980476</v>
          </cell>
        </row>
        <row r="73">
          <cell r="I73">
            <v>63951838</v>
          </cell>
        </row>
        <row r="77">
          <cell r="I77">
            <v>55977</v>
          </cell>
        </row>
      </sheetData>
    </sheetDataSet>
  </externalBook>
</externalLink>
</file>

<file path=xl/externalLinks/externalLink181.xml><?xml version="1.0" encoding="utf-8"?>
<externalLink xmlns="http://schemas.openxmlformats.org/spreadsheetml/2006/main">
  <externalBook xmlns:r="http://schemas.openxmlformats.org/officeDocument/2006/relationships" r:id="rId1">
    <sheetNames>
      <sheetName val="Aug07l&amp;a"/>
    </sheetNames>
    <sheetDataSet>
      <sheetData sheetId="0">
        <row r="19">
          <cell r="H19">
            <v>144296</v>
          </cell>
        </row>
        <row r="23">
          <cell r="H23">
            <v>109090</v>
          </cell>
        </row>
        <row r="25">
          <cell r="I25">
            <v>537194</v>
          </cell>
        </row>
        <row r="30">
          <cell r="H30">
            <v>259381</v>
          </cell>
        </row>
        <row r="31">
          <cell r="H31">
            <v>1464126</v>
          </cell>
        </row>
        <row r="32">
          <cell r="H32">
            <v>0</v>
          </cell>
        </row>
        <row r="33">
          <cell r="H33">
            <v>149960</v>
          </cell>
        </row>
        <row r="34">
          <cell r="H34">
            <v>159583</v>
          </cell>
        </row>
        <row r="35">
          <cell r="H35">
            <v>145335</v>
          </cell>
        </row>
        <row r="36">
          <cell r="H36">
            <v>253271</v>
          </cell>
        </row>
        <row r="37">
          <cell r="H37">
            <v>1030646</v>
          </cell>
        </row>
        <row r="38">
          <cell r="H38">
            <v>109436</v>
          </cell>
        </row>
        <row r="39">
          <cell r="H39">
            <v>2029727</v>
          </cell>
        </row>
        <row r="42">
          <cell r="H42">
            <v>9388422</v>
          </cell>
        </row>
        <row r="43">
          <cell r="H43">
            <v>483208</v>
          </cell>
        </row>
        <row r="44">
          <cell r="H44">
            <v>300027</v>
          </cell>
        </row>
        <row r="46">
          <cell r="I46">
            <v>744375</v>
          </cell>
        </row>
        <row r="49">
          <cell r="H49">
            <v>3667877</v>
          </cell>
        </row>
        <row r="50">
          <cell r="H50">
            <v>28179</v>
          </cell>
        </row>
        <row r="51">
          <cell r="H51">
            <v>3270449</v>
          </cell>
        </row>
        <row r="53">
          <cell r="I53">
            <v>935668</v>
          </cell>
        </row>
        <row r="56">
          <cell r="H56">
            <v>5202073</v>
          </cell>
        </row>
        <row r="57">
          <cell r="H57">
            <v>960</v>
          </cell>
        </row>
        <row r="58">
          <cell r="H58">
            <v>10674520</v>
          </cell>
        </row>
        <row r="59">
          <cell r="H59">
            <v>13278929</v>
          </cell>
        </row>
        <row r="61">
          <cell r="I61">
            <v>16729165</v>
          </cell>
        </row>
        <row r="63">
          <cell r="I63">
            <v>26309004</v>
          </cell>
        </row>
        <row r="65">
          <cell r="I65">
            <v>283960</v>
          </cell>
        </row>
        <row r="67">
          <cell r="I67">
            <v>11371387</v>
          </cell>
        </row>
        <row r="73">
          <cell r="I73">
            <v>66337526</v>
          </cell>
        </row>
        <row r="77">
          <cell r="I77">
            <v>51205</v>
          </cell>
        </row>
      </sheetData>
    </sheetDataSet>
  </externalBook>
</externalLink>
</file>

<file path=xl/externalLinks/externalLink182.xml><?xml version="1.0" encoding="utf-8"?>
<externalLink xmlns="http://schemas.openxmlformats.org/spreadsheetml/2006/main">
  <externalBook xmlns:r="http://schemas.openxmlformats.org/officeDocument/2006/relationships" r:id="rId1">
    <sheetNames>
      <sheetName val="Sep07loa"/>
      <sheetName val="Sep07l&amp;a"/>
    </sheetNames>
    <sheetDataSet>
      <sheetData sheetId="0">
        <row r="19">
          <cell r="H19">
            <v>131043</v>
          </cell>
        </row>
        <row r="23">
          <cell r="H23">
            <v>109871</v>
          </cell>
        </row>
        <row r="25">
          <cell r="I25">
            <v>557736</v>
          </cell>
        </row>
        <row r="30">
          <cell r="H30">
            <v>260373</v>
          </cell>
        </row>
        <row r="31">
          <cell r="H31">
            <v>1871079</v>
          </cell>
        </row>
        <row r="32">
          <cell r="H32">
            <v>0</v>
          </cell>
        </row>
        <row r="33">
          <cell r="H33">
            <v>154149</v>
          </cell>
        </row>
        <row r="34">
          <cell r="H34">
            <v>160974</v>
          </cell>
        </row>
        <row r="35">
          <cell r="H35">
            <v>155627</v>
          </cell>
        </row>
        <row r="36">
          <cell r="H36">
            <v>290519</v>
          </cell>
        </row>
        <row r="37">
          <cell r="H37">
            <v>972366</v>
          </cell>
        </row>
        <row r="38">
          <cell r="H38">
            <v>82497</v>
          </cell>
        </row>
        <row r="39">
          <cell r="H39">
            <v>2361651</v>
          </cell>
        </row>
        <row r="42">
          <cell r="H42">
            <v>9572775</v>
          </cell>
        </row>
        <row r="43">
          <cell r="H43">
            <v>538400</v>
          </cell>
        </row>
        <row r="44">
          <cell r="H44">
            <v>316586</v>
          </cell>
        </row>
        <row r="46">
          <cell r="I46">
            <v>791068</v>
          </cell>
        </row>
        <row r="49">
          <cell r="H49">
            <v>3760541</v>
          </cell>
        </row>
        <row r="50">
          <cell r="H50">
            <v>28006</v>
          </cell>
        </row>
        <row r="51">
          <cell r="H51">
            <v>3284657</v>
          </cell>
        </row>
        <row r="53">
          <cell r="I53">
            <v>1691012</v>
          </cell>
        </row>
        <row r="56">
          <cell r="H56">
            <v>5387074</v>
          </cell>
        </row>
        <row r="57">
          <cell r="H57">
            <v>0</v>
          </cell>
        </row>
        <row r="58">
          <cell r="H58">
            <v>10237610</v>
          </cell>
        </row>
        <row r="59">
          <cell r="H59">
            <v>12897160</v>
          </cell>
        </row>
        <row r="61">
          <cell r="I61">
            <v>18148973</v>
          </cell>
        </row>
        <row r="63">
          <cell r="I63">
            <v>27961103</v>
          </cell>
        </row>
        <row r="65">
          <cell r="I65">
            <v>288975</v>
          </cell>
        </row>
        <row r="67">
          <cell r="I67">
            <v>11912007</v>
          </cell>
        </row>
        <row r="73">
          <cell r="I73">
            <v>68179667</v>
          </cell>
        </row>
        <row r="77">
          <cell r="I77">
            <v>45922</v>
          </cell>
        </row>
      </sheetData>
    </sheetDataSet>
  </externalBook>
</externalLink>
</file>

<file path=xl/externalLinks/externalLink183.xml><?xml version="1.0" encoding="utf-8"?>
<externalLink xmlns="http://schemas.openxmlformats.org/spreadsheetml/2006/main">
  <externalBook xmlns:r="http://schemas.openxmlformats.org/officeDocument/2006/relationships" r:id="rId1">
    <sheetNames>
      <sheetName val="Oct07loa"/>
      <sheetName val="Oct07l&amp;a"/>
    </sheetNames>
    <sheetDataSet>
      <sheetData sheetId="0">
        <row r="19">
          <cell r="H19">
            <v>132694</v>
          </cell>
        </row>
        <row r="23">
          <cell r="H23">
            <v>110753</v>
          </cell>
        </row>
        <row r="25">
          <cell r="I25">
            <v>567498</v>
          </cell>
        </row>
        <row r="30">
          <cell r="H30">
            <v>269369</v>
          </cell>
        </row>
        <row r="31">
          <cell r="H31">
            <v>1906152</v>
          </cell>
        </row>
        <row r="32">
          <cell r="H32">
            <v>0</v>
          </cell>
        </row>
        <row r="33">
          <cell r="H33">
            <v>153900</v>
          </cell>
        </row>
        <row r="34">
          <cell r="H34">
            <v>128434</v>
          </cell>
        </row>
        <row r="35">
          <cell r="H35">
            <v>227577</v>
          </cell>
        </row>
        <row r="36">
          <cell r="H36">
            <v>300412</v>
          </cell>
        </row>
        <row r="37">
          <cell r="H37">
            <v>875636</v>
          </cell>
        </row>
        <row r="38">
          <cell r="H38">
            <v>101012</v>
          </cell>
        </row>
        <row r="39">
          <cell r="H39">
            <v>2437533</v>
          </cell>
        </row>
        <row r="42">
          <cell r="H42">
            <v>8367447</v>
          </cell>
        </row>
        <row r="43">
          <cell r="H43">
            <v>646055</v>
          </cell>
        </row>
        <row r="44">
          <cell r="H44">
            <v>315734</v>
          </cell>
        </row>
        <row r="46">
          <cell r="I46">
            <v>719057</v>
          </cell>
        </row>
        <row r="49">
          <cell r="H49">
            <v>4229883</v>
          </cell>
        </row>
        <row r="50">
          <cell r="H50">
            <v>31184</v>
          </cell>
        </row>
        <row r="51">
          <cell r="H51">
            <v>3483828</v>
          </cell>
        </row>
        <row r="53">
          <cell r="I53">
            <v>1694447</v>
          </cell>
        </row>
        <row r="56">
          <cell r="H56">
            <v>6386317</v>
          </cell>
        </row>
        <row r="57">
          <cell r="H57">
            <v>2014</v>
          </cell>
        </row>
        <row r="58">
          <cell r="H58">
            <v>11225233</v>
          </cell>
        </row>
        <row r="59">
          <cell r="H59">
            <v>12612130</v>
          </cell>
        </row>
        <row r="61">
          <cell r="I61">
            <v>18341963</v>
          </cell>
        </row>
        <row r="63">
          <cell r="I63">
            <v>28680280</v>
          </cell>
        </row>
        <row r="65">
          <cell r="I65">
            <v>304207</v>
          </cell>
        </row>
        <row r="67">
          <cell r="I67">
            <v>11563108</v>
          </cell>
        </row>
        <row r="73">
          <cell r="I73">
            <v>70004315</v>
          </cell>
        </row>
        <row r="77">
          <cell r="I77">
            <v>46831</v>
          </cell>
        </row>
      </sheetData>
    </sheetDataSet>
  </externalBook>
</externalLink>
</file>

<file path=xl/externalLinks/externalLink184.xml><?xml version="1.0" encoding="utf-8"?>
<externalLink xmlns="http://schemas.openxmlformats.org/spreadsheetml/2006/main">
  <externalBook xmlns:r="http://schemas.openxmlformats.org/officeDocument/2006/relationships" r:id="rId1">
    <sheetNames>
      <sheetName val="Nov07loa"/>
      <sheetName val="Nov07l&amp;a"/>
    </sheetNames>
    <sheetDataSet>
      <sheetData sheetId="0">
        <row r="19">
          <cell r="H19">
            <v>124814</v>
          </cell>
        </row>
        <row r="23">
          <cell r="H23">
            <v>110802</v>
          </cell>
        </row>
        <row r="25">
          <cell r="I25">
            <v>538638</v>
          </cell>
        </row>
        <row r="30">
          <cell r="H30">
            <v>247463</v>
          </cell>
        </row>
        <row r="31">
          <cell r="H31">
            <v>2027491</v>
          </cell>
        </row>
        <row r="32">
          <cell r="H32">
            <v>0</v>
          </cell>
        </row>
        <row r="33">
          <cell r="H33">
            <v>149920</v>
          </cell>
        </row>
        <row r="34">
          <cell r="H34">
            <v>140669</v>
          </cell>
        </row>
        <row r="35">
          <cell r="H35">
            <v>241774</v>
          </cell>
        </row>
        <row r="36">
          <cell r="H36">
            <v>313676</v>
          </cell>
        </row>
        <row r="37">
          <cell r="H37">
            <v>765114</v>
          </cell>
        </row>
        <row r="38">
          <cell r="H38">
            <v>99158</v>
          </cell>
        </row>
        <row r="39">
          <cell r="H39">
            <v>2414784</v>
          </cell>
        </row>
        <row r="42">
          <cell r="H42">
            <v>8510370</v>
          </cell>
        </row>
        <row r="43">
          <cell r="H43">
            <v>777759</v>
          </cell>
        </row>
        <row r="44">
          <cell r="H44">
            <v>309061</v>
          </cell>
        </row>
        <row r="46">
          <cell r="I46">
            <v>751458</v>
          </cell>
        </row>
        <row r="49">
          <cell r="H49">
            <v>4182647</v>
          </cell>
        </row>
        <row r="50">
          <cell r="H50">
            <v>40240</v>
          </cell>
        </row>
        <row r="51">
          <cell r="H51">
            <v>3472527</v>
          </cell>
        </row>
        <row r="53">
          <cell r="I53">
            <v>1708431</v>
          </cell>
        </row>
        <row r="56">
          <cell r="H56">
            <v>6393216</v>
          </cell>
        </row>
        <row r="57">
          <cell r="H57">
            <v>350</v>
          </cell>
        </row>
        <row r="58">
          <cell r="H58">
            <v>10814525</v>
          </cell>
        </row>
        <row r="59">
          <cell r="H59">
            <v>12255263</v>
          </cell>
        </row>
        <row r="61">
          <cell r="I61">
            <v>18831389</v>
          </cell>
        </row>
        <row r="63">
          <cell r="I63">
            <v>29021189</v>
          </cell>
        </row>
        <row r="65">
          <cell r="I65">
            <v>289269</v>
          </cell>
        </row>
        <row r="67">
          <cell r="I67">
            <v>11773672</v>
          </cell>
        </row>
        <row r="73">
          <cell r="I73">
            <v>72030989</v>
          </cell>
        </row>
        <row r="77">
          <cell r="I77">
            <v>47258</v>
          </cell>
        </row>
      </sheetData>
    </sheetDataSet>
  </externalBook>
</externalLink>
</file>

<file path=xl/externalLinks/externalLink185.xml><?xml version="1.0" encoding="utf-8"?>
<externalLink xmlns="http://schemas.openxmlformats.org/spreadsheetml/2006/main">
  <externalBook xmlns:r="http://schemas.openxmlformats.org/officeDocument/2006/relationships" r:id="rId1">
    <sheetNames>
      <sheetName val="Dec07loa"/>
      <sheetName val="Dec07l&amp;a"/>
    </sheetNames>
    <sheetDataSet>
      <sheetData sheetId="0">
        <row r="19">
          <cell r="H19">
            <v>114691</v>
          </cell>
        </row>
        <row r="23">
          <cell r="H23">
            <v>109353</v>
          </cell>
        </row>
        <row r="25">
          <cell r="I25">
            <v>513411</v>
          </cell>
        </row>
        <row r="30">
          <cell r="H30">
            <v>209033</v>
          </cell>
        </row>
        <row r="31">
          <cell r="H31">
            <v>2026115</v>
          </cell>
        </row>
        <row r="32">
          <cell r="H32">
            <v>0</v>
          </cell>
        </row>
        <row r="33">
          <cell r="H33">
            <v>157561</v>
          </cell>
        </row>
        <row r="34">
          <cell r="H34">
            <v>123615</v>
          </cell>
        </row>
        <row r="35">
          <cell r="H35">
            <v>259794</v>
          </cell>
        </row>
        <row r="36">
          <cell r="H36">
            <v>319223</v>
          </cell>
        </row>
        <row r="37">
          <cell r="H37">
            <v>701321</v>
          </cell>
        </row>
        <row r="38">
          <cell r="H38">
            <v>101468</v>
          </cell>
        </row>
        <row r="39">
          <cell r="H39">
            <v>2361020</v>
          </cell>
        </row>
        <row r="42">
          <cell r="H42">
            <v>7881569</v>
          </cell>
        </row>
        <row r="43">
          <cell r="H43">
            <v>783482</v>
          </cell>
        </row>
        <row r="44">
          <cell r="H44">
            <v>312319</v>
          </cell>
        </row>
        <row r="46">
          <cell r="I46">
            <v>749734</v>
          </cell>
        </row>
        <row r="49">
          <cell r="H49">
            <v>4176627</v>
          </cell>
        </row>
        <row r="50">
          <cell r="H50">
            <v>31374</v>
          </cell>
        </row>
        <row r="51">
          <cell r="H51">
            <v>3983313</v>
          </cell>
        </row>
        <row r="53">
          <cell r="I53">
            <v>2405317</v>
          </cell>
        </row>
        <row r="56">
          <cell r="H56">
            <v>6090695</v>
          </cell>
        </row>
        <row r="57">
          <cell r="H57">
            <v>348</v>
          </cell>
        </row>
        <row r="58">
          <cell r="H58">
            <v>13275144</v>
          </cell>
        </row>
        <row r="59">
          <cell r="H59">
            <v>12297009</v>
          </cell>
        </row>
        <row r="61">
          <cell r="I61">
            <v>18728731</v>
          </cell>
        </row>
        <row r="63">
          <cell r="I63">
            <v>29562840</v>
          </cell>
        </row>
        <row r="65">
          <cell r="I65">
            <v>285748</v>
          </cell>
        </row>
        <row r="67">
          <cell r="I67">
            <v>11826496</v>
          </cell>
        </row>
        <row r="73">
          <cell r="I73">
            <v>73729795</v>
          </cell>
        </row>
        <row r="77">
          <cell r="I77">
            <v>46106</v>
          </cell>
        </row>
      </sheetData>
    </sheetDataSet>
  </externalBook>
</externalLink>
</file>

<file path=xl/externalLinks/externalLink186.xml><?xml version="1.0" encoding="utf-8"?>
<externalLink xmlns="http://schemas.openxmlformats.org/spreadsheetml/2006/main">
  <externalBook xmlns:r="http://schemas.openxmlformats.org/officeDocument/2006/relationships" r:id="rId1">
    <sheetNames>
      <sheetName val="Jan08loa"/>
      <sheetName val="Jan08l&amp;a"/>
    </sheetNames>
    <sheetDataSet>
      <sheetData sheetId="0">
        <row r="19">
          <cell r="H19">
            <v>113960</v>
          </cell>
        </row>
        <row r="23">
          <cell r="H23">
            <v>110584</v>
          </cell>
        </row>
        <row r="25">
          <cell r="I25">
            <v>497722</v>
          </cell>
        </row>
        <row r="30">
          <cell r="H30">
            <v>166826</v>
          </cell>
        </row>
        <row r="31">
          <cell r="H31">
            <v>1934653</v>
          </cell>
        </row>
        <row r="32">
          <cell r="H32">
            <v>22</v>
          </cell>
        </row>
        <row r="33">
          <cell r="H33">
            <v>140093</v>
          </cell>
        </row>
        <row r="34">
          <cell r="H34">
            <v>120067</v>
          </cell>
        </row>
        <row r="35">
          <cell r="H35">
            <v>275771</v>
          </cell>
        </row>
        <row r="36">
          <cell r="H36">
            <v>327714</v>
          </cell>
        </row>
        <row r="37">
          <cell r="H37">
            <v>724823</v>
          </cell>
        </row>
        <row r="38">
          <cell r="H38">
            <v>306296</v>
          </cell>
        </row>
        <row r="39">
          <cell r="H39">
            <v>2390449</v>
          </cell>
        </row>
        <row r="42">
          <cell r="H42">
            <v>8441389</v>
          </cell>
        </row>
        <row r="43">
          <cell r="H43">
            <v>774932</v>
          </cell>
        </row>
        <row r="44">
          <cell r="H44">
            <v>311468</v>
          </cell>
        </row>
        <row r="46">
          <cell r="I46">
            <v>810658</v>
          </cell>
        </row>
        <row r="49">
          <cell r="H49">
            <v>4466500</v>
          </cell>
        </row>
        <row r="50">
          <cell r="H50">
            <v>30488</v>
          </cell>
        </row>
        <row r="51">
          <cell r="H51">
            <v>4103723</v>
          </cell>
        </row>
        <row r="53">
          <cell r="I53">
            <v>2812497</v>
          </cell>
        </row>
        <row r="56">
          <cell r="H56">
            <v>5280868</v>
          </cell>
        </row>
        <row r="57">
          <cell r="H57">
            <v>507</v>
          </cell>
        </row>
        <row r="58">
          <cell r="H58">
            <v>14112450</v>
          </cell>
        </row>
        <row r="59">
          <cell r="H59">
            <v>12177399</v>
          </cell>
        </row>
        <row r="61">
          <cell r="I61">
            <v>18074761</v>
          </cell>
        </row>
        <row r="63">
          <cell r="I63">
            <v>29295352</v>
          </cell>
        </row>
        <row r="65">
          <cell r="I65">
            <v>285304</v>
          </cell>
        </row>
        <row r="67">
          <cell r="I67">
            <v>11568214</v>
          </cell>
        </row>
        <row r="73">
          <cell r="I73">
            <v>74295582</v>
          </cell>
        </row>
        <row r="77">
          <cell r="I77">
            <v>47634</v>
          </cell>
        </row>
      </sheetData>
    </sheetDataSet>
  </externalBook>
</externalLink>
</file>

<file path=xl/externalLinks/externalLink187.xml><?xml version="1.0" encoding="utf-8"?>
<externalLink xmlns="http://schemas.openxmlformats.org/spreadsheetml/2006/main">
  <externalBook xmlns:r="http://schemas.openxmlformats.org/officeDocument/2006/relationships" r:id="rId1">
    <sheetNames>
      <sheetName val="Feb08loa"/>
      <sheetName val="Feb08l&amp;a"/>
    </sheetNames>
    <sheetDataSet>
      <sheetData sheetId="0">
        <row r="19">
          <cell r="H19">
            <v>115790</v>
          </cell>
        </row>
        <row r="23">
          <cell r="H23">
            <v>109780</v>
          </cell>
        </row>
        <row r="25">
          <cell r="I25">
            <v>486321</v>
          </cell>
        </row>
        <row r="30">
          <cell r="H30">
            <v>175191</v>
          </cell>
        </row>
        <row r="31">
          <cell r="H31">
            <v>1930389</v>
          </cell>
        </row>
        <row r="32">
          <cell r="H32">
            <v>0</v>
          </cell>
        </row>
        <row r="33">
          <cell r="H33">
            <v>135900</v>
          </cell>
        </row>
        <row r="34">
          <cell r="H34">
            <v>124874</v>
          </cell>
        </row>
        <row r="35">
          <cell r="H35">
            <v>281531</v>
          </cell>
        </row>
        <row r="36">
          <cell r="H36">
            <v>318741</v>
          </cell>
        </row>
        <row r="37">
          <cell r="H37">
            <v>792142</v>
          </cell>
        </row>
        <row r="38">
          <cell r="H38">
            <v>300602</v>
          </cell>
        </row>
        <row r="39">
          <cell r="H39">
            <v>2469688</v>
          </cell>
        </row>
        <row r="42">
          <cell r="H42">
            <v>9077393</v>
          </cell>
        </row>
        <row r="43">
          <cell r="H43">
            <v>809561</v>
          </cell>
        </row>
        <row r="44">
          <cell r="H44">
            <v>305095</v>
          </cell>
        </row>
        <row r="46">
          <cell r="I46">
            <v>628611</v>
          </cell>
        </row>
        <row r="49">
          <cell r="H49">
            <v>4511642</v>
          </cell>
        </row>
        <row r="50">
          <cell r="H50">
            <v>23885</v>
          </cell>
        </row>
        <row r="51">
          <cell r="H51">
            <v>4061695</v>
          </cell>
        </row>
        <row r="53">
          <cell r="I53">
            <v>2807452</v>
          </cell>
        </row>
        <row r="56">
          <cell r="H56">
            <v>5184004</v>
          </cell>
        </row>
        <row r="57">
          <cell r="H57">
            <v>344</v>
          </cell>
        </row>
        <row r="58">
          <cell r="H58">
            <v>10798046</v>
          </cell>
        </row>
        <row r="59">
          <cell r="H59">
            <v>12837508</v>
          </cell>
        </row>
        <row r="61">
          <cell r="I61">
            <v>18219609</v>
          </cell>
        </row>
        <row r="63">
          <cell r="I63">
            <v>29881718</v>
          </cell>
        </row>
        <row r="65">
          <cell r="I65">
            <v>292215</v>
          </cell>
        </row>
        <row r="67">
          <cell r="I67">
            <v>11509014</v>
          </cell>
        </row>
        <row r="73">
          <cell r="I73">
            <v>75369784</v>
          </cell>
        </row>
        <row r="77">
          <cell r="I77">
            <v>79128</v>
          </cell>
        </row>
      </sheetData>
    </sheetDataSet>
  </externalBook>
</externalLink>
</file>

<file path=xl/externalLinks/externalLink188.xml><?xml version="1.0" encoding="utf-8"?>
<externalLink xmlns="http://schemas.openxmlformats.org/spreadsheetml/2006/main">
  <externalBook xmlns:r="http://schemas.openxmlformats.org/officeDocument/2006/relationships" r:id="rId1">
    <sheetNames>
      <sheetName val="Mar08loa"/>
      <sheetName val="Mar08l&amp;a"/>
    </sheetNames>
    <sheetDataSet>
      <sheetData sheetId="0">
        <row r="19">
          <cell r="H19">
            <v>118940</v>
          </cell>
        </row>
        <row r="23">
          <cell r="H23">
            <v>109022</v>
          </cell>
        </row>
        <row r="25">
          <cell r="I25">
            <v>471728</v>
          </cell>
        </row>
        <row r="30">
          <cell r="H30">
            <v>266429</v>
          </cell>
        </row>
        <row r="31">
          <cell r="H31">
            <v>1886716</v>
          </cell>
        </row>
        <row r="32">
          <cell r="H32">
            <v>0</v>
          </cell>
        </row>
        <row r="33">
          <cell r="H33">
            <v>135095</v>
          </cell>
        </row>
        <row r="34">
          <cell r="H34">
            <v>114059</v>
          </cell>
        </row>
        <row r="35">
          <cell r="H35">
            <v>264803</v>
          </cell>
        </row>
        <row r="36">
          <cell r="H36">
            <v>320875</v>
          </cell>
        </row>
        <row r="37">
          <cell r="H37">
            <v>834924</v>
          </cell>
        </row>
        <row r="38">
          <cell r="H38">
            <v>322168</v>
          </cell>
        </row>
        <row r="39">
          <cell r="H39">
            <v>2404925</v>
          </cell>
        </row>
        <row r="42">
          <cell r="H42">
            <v>8914727</v>
          </cell>
        </row>
        <row r="43">
          <cell r="H43">
            <v>826081</v>
          </cell>
        </row>
        <row r="44">
          <cell r="H44">
            <v>290679</v>
          </cell>
        </row>
        <row r="46">
          <cell r="I46">
            <v>590287</v>
          </cell>
        </row>
        <row r="49">
          <cell r="H49">
            <v>4840039</v>
          </cell>
        </row>
        <row r="50">
          <cell r="H50">
            <v>39941</v>
          </cell>
        </row>
        <row r="51">
          <cell r="H51">
            <v>3998701</v>
          </cell>
        </row>
        <row r="53">
          <cell r="I53">
            <v>2801323</v>
          </cell>
        </row>
        <row r="56">
          <cell r="H56">
            <v>3595391</v>
          </cell>
        </row>
        <row r="57">
          <cell r="H57">
            <v>369</v>
          </cell>
        </row>
        <row r="58">
          <cell r="H58">
            <v>10560805</v>
          </cell>
        </row>
        <row r="59">
          <cell r="H59">
            <v>12897834</v>
          </cell>
        </row>
        <row r="61">
          <cell r="I61">
            <v>16789607</v>
          </cell>
        </row>
        <row r="63">
          <cell r="I63">
            <v>28952737</v>
          </cell>
        </row>
        <row r="65">
          <cell r="I65">
            <v>322845</v>
          </cell>
        </row>
        <row r="67">
          <cell r="I67">
            <v>12074383</v>
          </cell>
        </row>
        <row r="73">
          <cell r="I73">
            <v>78048185</v>
          </cell>
        </row>
        <row r="77">
          <cell r="I77">
            <v>79399</v>
          </cell>
        </row>
      </sheetData>
    </sheetDataSet>
  </externalBook>
</externalLink>
</file>

<file path=xl/externalLinks/externalLink189.xml><?xml version="1.0" encoding="utf-8"?>
<externalLink xmlns="http://schemas.openxmlformats.org/spreadsheetml/2006/main">
  <externalBook xmlns:r="http://schemas.openxmlformats.org/officeDocument/2006/relationships" r:id="rId1">
    <sheetNames>
      <sheetName val="Apr08loa"/>
      <sheetName val="Apr08l&amp;a"/>
    </sheetNames>
    <sheetDataSet>
      <sheetData sheetId="0">
        <row r="19">
          <cell r="H19">
            <v>101966</v>
          </cell>
        </row>
        <row r="23">
          <cell r="H23">
            <v>109191</v>
          </cell>
        </row>
        <row r="25">
          <cell r="I25">
            <v>569771</v>
          </cell>
        </row>
        <row r="30">
          <cell r="H30">
            <v>251649</v>
          </cell>
        </row>
        <row r="31">
          <cell r="H31">
            <v>2092254</v>
          </cell>
        </row>
        <row r="32">
          <cell r="H32">
            <v>0</v>
          </cell>
        </row>
        <row r="33">
          <cell r="H33">
            <v>136601</v>
          </cell>
        </row>
        <row r="34">
          <cell r="H34">
            <v>106427</v>
          </cell>
        </row>
        <row r="35">
          <cell r="H35">
            <v>265431</v>
          </cell>
        </row>
        <row r="36">
          <cell r="H36">
            <v>328869</v>
          </cell>
        </row>
        <row r="37">
          <cell r="H37">
            <v>684179</v>
          </cell>
        </row>
        <row r="38">
          <cell r="H38">
            <v>292070</v>
          </cell>
        </row>
        <row r="39">
          <cell r="H39">
            <v>2267420</v>
          </cell>
        </row>
        <row r="42">
          <cell r="H42">
            <v>8926601</v>
          </cell>
        </row>
        <row r="43">
          <cell r="H43">
            <v>842382</v>
          </cell>
        </row>
        <row r="44">
          <cell r="H44">
            <v>287187</v>
          </cell>
        </row>
        <row r="46">
          <cell r="I46">
            <v>587138</v>
          </cell>
        </row>
        <row r="49">
          <cell r="H49">
            <v>4663890</v>
          </cell>
        </row>
        <row r="50">
          <cell r="H50">
            <v>26330</v>
          </cell>
        </row>
        <row r="51">
          <cell r="H51">
            <v>6140428</v>
          </cell>
        </row>
        <row r="53">
          <cell r="I53">
            <v>3028574</v>
          </cell>
        </row>
        <row r="56">
          <cell r="H56">
            <v>3347707</v>
          </cell>
        </row>
        <row r="57">
          <cell r="H57">
            <v>413</v>
          </cell>
        </row>
        <row r="58">
          <cell r="H58">
            <v>13045388</v>
          </cell>
        </row>
        <row r="59">
          <cell r="H59">
            <v>13339290</v>
          </cell>
        </row>
        <row r="61">
          <cell r="I61">
            <v>17121320</v>
          </cell>
        </row>
        <row r="63">
          <cell r="I63">
            <v>30802223</v>
          </cell>
        </row>
        <row r="65">
          <cell r="I65">
            <v>333494</v>
          </cell>
        </row>
        <row r="67">
          <cell r="I67">
            <v>12019097</v>
          </cell>
        </row>
        <row r="73">
          <cell r="I73">
            <v>79300709</v>
          </cell>
        </row>
        <row r="77">
          <cell r="I77">
            <v>79234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ug11loa"/>
    </sheetNames>
    <sheetDataSet>
      <sheetData sheetId="0">
        <row r="10">
          <cell r="I10">
            <v>4876064</v>
          </cell>
        </row>
        <row r="19">
          <cell r="I19">
            <v>153186</v>
          </cell>
        </row>
        <row r="23">
          <cell r="I23">
            <v>30359</v>
          </cell>
        </row>
        <row r="25">
          <cell r="J25">
            <v>538087</v>
          </cell>
        </row>
        <row r="30">
          <cell r="I30">
            <v>200145</v>
          </cell>
        </row>
        <row r="31">
          <cell r="I31">
            <v>1777361</v>
          </cell>
        </row>
        <row r="32">
          <cell r="I32">
            <v>0</v>
          </cell>
        </row>
        <row r="33">
          <cell r="I33">
            <v>108830</v>
          </cell>
        </row>
        <row r="34">
          <cell r="I34">
            <v>142905</v>
          </cell>
        </row>
        <row r="35">
          <cell r="I35">
            <v>637350</v>
          </cell>
        </row>
        <row r="36">
          <cell r="I36">
            <v>219000</v>
          </cell>
        </row>
        <row r="37">
          <cell r="I37">
            <v>909841</v>
          </cell>
        </row>
        <row r="38">
          <cell r="I38">
            <v>316645</v>
          </cell>
        </row>
        <row r="39">
          <cell r="I39">
            <v>3101404</v>
          </cell>
        </row>
        <row r="42">
          <cell r="I42">
            <v>19868889</v>
          </cell>
        </row>
        <row r="43">
          <cell r="I43">
            <v>394202</v>
          </cell>
        </row>
        <row r="44">
          <cell r="I44">
            <v>200641</v>
          </cell>
        </row>
        <row r="46">
          <cell r="J46">
            <v>1132191</v>
          </cell>
        </row>
        <row r="49">
          <cell r="I49">
            <v>4414291</v>
          </cell>
        </row>
        <row r="50">
          <cell r="I50">
            <v>543321</v>
          </cell>
        </row>
        <row r="51">
          <cell r="I51">
            <v>3781559</v>
          </cell>
        </row>
        <row r="53">
          <cell r="J53">
            <v>5477267</v>
          </cell>
        </row>
        <row r="56">
          <cell r="I56">
            <v>10421486</v>
          </cell>
        </row>
        <row r="57">
          <cell r="I57">
            <v>33</v>
          </cell>
        </row>
        <row r="58">
          <cell r="I58">
            <v>14898757</v>
          </cell>
        </row>
        <row r="59">
          <cell r="I59">
            <v>933088</v>
          </cell>
        </row>
        <row r="61">
          <cell r="J61">
            <v>27139477</v>
          </cell>
        </row>
        <row r="63">
          <cell r="J63">
            <v>30995299</v>
          </cell>
        </row>
        <row r="65">
          <cell r="J65">
            <v>444998</v>
          </cell>
        </row>
        <row r="67">
          <cell r="J67">
            <v>16150423</v>
          </cell>
        </row>
        <row r="73">
          <cell r="J73">
            <v>95527116</v>
          </cell>
        </row>
        <row r="77">
          <cell r="J77">
            <v>7446841</v>
          </cell>
        </row>
      </sheetData>
    </sheetDataSet>
  </externalBook>
</externalLink>
</file>

<file path=xl/externalLinks/externalLink190.xml><?xml version="1.0" encoding="utf-8"?>
<externalLink xmlns="http://schemas.openxmlformats.org/spreadsheetml/2006/main">
  <externalBook xmlns:r="http://schemas.openxmlformats.org/officeDocument/2006/relationships" r:id="rId1">
    <sheetNames>
      <sheetName val="May08loa"/>
      <sheetName val="May08l&amp;a"/>
    </sheetNames>
    <sheetDataSet>
      <sheetData sheetId="0">
        <row r="19">
          <cell r="H19">
            <v>103874</v>
          </cell>
        </row>
        <row r="23">
          <cell r="H23">
            <v>108818</v>
          </cell>
        </row>
        <row r="25">
          <cell r="I25">
            <v>544650</v>
          </cell>
        </row>
        <row r="30">
          <cell r="H30">
            <v>240492</v>
          </cell>
        </row>
        <row r="31">
          <cell r="H31">
            <v>2730750</v>
          </cell>
        </row>
        <row r="32">
          <cell r="H32">
            <v>0</v>
          </cell>
        </row>
        <row r="33">
          <cell r="H33">
            <v>135226</v>
          </cell>
        </row>
        <row r="34">
          <cell r="H34">
            <v>120883</v>
          </cell>
        </row>
        <row r="35">
          <cell r="H35">
            <v>250538</v>
          </cell>
        </row>
        <row r="36">
          <cell r="H36">
            <v>340996</v>
          </cell>
        </row>
        <row r="37">
          <cell r="H37">
            <v>643642</v>
          </cell>
        </row>
        <row r="38">
          <cell r="H38">
            <v>284173</v>
          </cell>
        </row>
        <row r="39">
          <cell r="H39">
            <v>2571468</v>
          </cell>
        </row>
        <row r="42">
          <cell r="H42">
            <v>9445304</v>
          </cell>
        </row>
        <row r="43">
          <cell r="H43">
            <v>943769</v>
          </cell>
        </row>
        <row r="44">
          <cell r="H44">
            <v>289440</v>
          </cell>
        </row>
        <row r="46">
          <cell r="I46">
            <v>578639</v>
          </cell>
        </row>
        <row r="49">
          <cell r="H49">
            <v>4626230</v>
          </cell>
        </row>
        <row r="50">
          <cell r="H50">
            <v>23041</v>
          </cell>
        </row>
        <row r="51">
          <cell r="H51">
            <v>5269194</v>
          </cell>
        </row>
        <row r="53">
          <cell r="I53">
            <v>3199006</v>
          </cell>
        </row>
        <row r="56">
          <cell r="H56">
            <v>3333409</v>
          </cell>
        </row>
        <row r="57">
          <cell r="H57">
            <v>61</v>
          </cell>
        </row>
        <row r="58">
          <cell r="H58">
            <v>13493977</v>
          </cell>
        </row>
        <row r="59">
          <cell r="H59">
            <v>13420595</v>
          </cell>
        </row>
        <row r="61">
          <cell r="I61">
            <v>18829711</v>
          </cell>
        </row>
        <row r="63">
          <cell r="I63">
            <v>32252382</v>
          </cell>
        </row>
        <row r="65">
          <cell r="I65">
            <v>331189</v>
          </cell>
        </row>
        <row r="67">
          <cell r="I67">
            <v>12723418</v>
          </cell>
        </row>
        <row r="73">
          <cell r="I73">
            <v>78402255</v>
          </cell>
        </row>
        <row r="77">
          <cell r="I77">
            <v>77588</v>
          </cell>
        </row>
      </sheetData>
    </sheetDataSet>
  </externalBook>
</externalLink>
</file>

<file path=xl/externalLinks/externalLink191.xml><?xml version="1.0" encoding="utf-8"?>
<externalLink xmlns="http://schemas.openxmlformats.org/spreadsheetml/2006/main">
  <externalBook xmlns:r="http://schemas.openxmlformats.org/officeDocument/2006/relationships" r:id="rId1">
    <sheetNames>
      <sheetName val="Jun08loa"/>
      <sheetName val="Jun08l&amp;a"/>
    </sheetNames>
    <sheetDataSet>
      <sheetData sheetId="0">
        <row r="19">
          <cell r="I19">
            <v>136961</v>
          </cell>
        </row>
        <row r="23">
          <cell r="I23">
            <v>109199</v>
          </cell>
        </row>
        <row r="25">
          <cell r="J25">
            <v>615424</v>
          </cell>
        </row>
        <row r="30">
          <cell r="I30">
            <v>482754</v>
          </cell>
        </row>
        <row r="31">
          <cell r="I31">
            <v>3850846</v>
          </cell>
        </row>
        <row r="32">
          <cell r="I32">
            <v>0</v>
          </cell>
        </row>
        <row r="33">
          <cell r="I33">
            <v>131943</v>
          </cell>
        </row>
        <row r="34">
          <cell r="I34">
            <v>105348</v>
          </cell>
        </row>
        <row r="35">
          <cell r="I35">
            <v>257579</v>
          </cell>
        </row>
        <row r="36">
          <cell r="I36">
            <v>337415</v>
          </cell>
        </row>
        <row r="37">
          <cell r="I37">
            <v>587992</v>
          </cell>
        </row>
        <row r="38">
          <cell r="I38">
            <v>362199</v>
          </cell>
        </row>
        <row r="39">
          <cell r="I39">
            <v>2935200</v>
          </cell>
        </row>
        <row r="42">
          <cell r="I42">
            <v>9661624</v>
          </cell>
        </row>
        <row r="43">
          <cell r="I43">
            <v>1072528</v>
          </cell>
        </row>
        <row r="44">
          <cell r="I44">
            <v>358597</v>
          </cell>
        </row>
        <row r="46">
          <cell r="J46">
            <v>749578</v>
          </cell>
        </row>
        <row r="49">
          <cell r="I49">
            <v>4597019</v>
          </cell>
        </row>
        <row r="50">
          <cell r="I50">
            <v>19988</v>
          </cell>
        </row>
        <row r="51">
          <cell r="I51">
            <v>5876786</v>
          </cell>
        </row>
        <row r="53">
          <cell r="J53">
            <v>3857274</v>
          </cell>
        </row>
        <row r="56">
          <cell r="I56">
            <v>2793623</v>
          </cell>
        </row>
        <row r="57">
          <cell r="I57">
            <v>36</v>
          </cell>
        </row>
        <row r="58">
          <cell r="I58">
            <v>12993077</v>
          </cell>
        </row>
        <row r="59">
          <cell r="I59">
            <v>12820254</v>
          </cell>
        </row>
        <row r="61">
          <cell r="J61">
            <v>20767829</v>
          </cell>
        </row>
        <row r="63">
          <cell r="J63">
            <v>33020798</v>
          </cell>
        </row>
        <row r="65">
          <cell r="J65">
            <v>417840</v>
          </cell>
        </row>
        <row r="67">
          <cell r="J67">
            <v>13866545</v>
          </cell>
        </row>
        <row r="73">
          <cell r="J73">
            <v>79961689</v>
          </cell>
        </row>
        <row r="77">
          <cell r="J77">
            <v>330661</v>
          </cell>
        </row>
      </sheetData>
    </sheetDataSet>
  </externalBook>
</externalLink>
</file>

<file path=xl/externalLinks/externalLink192.xml><?xml version="1.0" encoding="utf-8"?>
<externalLink xmlns="http://schemas.openxmlformats.org/spreadsheetml/2006/main">
  <externalBook xmlns:r="http://schemas.openxmlformats.org/officeDocument/2006/relationships" r:id="rId1">
    <sheetNames>
      <sheetName val="Jul08loa"/>
      <sheetName val="Jul08l&amp;a"/>
    </sheetNames>
    <sheetDataSet>
      <sheetData sheetId="0">
        <row r="19">
          <cell r="I19">
            <v>130932</v>
          </cell>
        </row>
        <row r="23">
          <cell r="I23">
            <v>109097</v>
          </cell>
        </row>
        <row r="25">
          <cell r="J25">
            <v>629260</v>
          </cell>
        </row>
        <row r="30">
          <cell r="I30">
            <v>375541</v>
          </cell>
        </row>
        <row r="31">
          <cell r="I31">
            <v>3865159</v>
          </cell>
        </row>
        <row r="32">
          <cell r="I32">
            <v>0</v>
          </cell>
        </row>
        <row r="33">
          <cell r="I33">
            <v>126299</v>
          </cell>
        </row>
        <row r="34">
          <cell r="I34">
            <v>121330</v>
          </cell>
        </row>
        <row r="35">
          <cell r="I35">
            <v>262951</v>
          </cell>
        </row>
        <row r="36">
          <cell r="I36">
            <v>296211</v>
          </cell>
        </row>
        <row r="37">
          <cell r="I37">
            <v>579215</v>
          </cell>
        </row>
        <row r="38">
          <cell r="I38">
            <v>349668</v>
          </cell>
        </row>
        <row r="39">
          <cell r="I39">
            <v>3090486</v>
          </cell>
        </row>
        <row r="42">
          <cell r="I42">
            <v>9732902</v>
          </cell>
        </row>
        <row r="43">
          <cell r="I43">
            <v>1086347</v>
          </cell>
        </row>
        <row r="44">
          <cell r="I44">
            <v>364463</v>
          </cell>
        </row>
        <row r="46">
          <cell r="J46">
            <v>609184</v>
          </cell>
        </row>
        <row r="49">
          <cell r="I49">
            <v>4567323</v>
          </cell>
        </row>
        <row r="50">
          <cell r="I50">
            <v>23697</v>
          </cell>
        </row>
        <row r="51">
          <cell r="I51">
            <v>6017263</v>
          </cell>
        </row>
        <row r="53">
          <cell r="J53">
            <v>3809794</v>
          </cell>
        </row>
        <row r="56">
          <cell r="I56">
            <v>2704253</v>
          </cell>
        </row>
        <row r="57">
          <cell r="I57">
            <v>36</v>
          </cell>
        </row>
        <row r="58">
          <cell r="I58">
            <v>12389040</v>
          </cell>
        </row>
        <row r="59">
          <cell r="I59">
            <v>12823750</v>
          </cell>
        </row>
        <row r="61">
          <cell r="J61">
            <v>26637164</v>
          </cell>
        </row>
        <row r="63">
          <cell r="J63">
            <v>33792522</v>
          </cell>
        </row>
        <row r="65">
          <cell r="J65">
            <v>364132</v>
          </cell>
        </row>
        <row r="67">
          <cell r="J67">
            <v>14808839</v>
          </cell>
        </row>
        <row r="73">
          <cell r="J73">
            <v>80481570</v>
          </cell>
        </row>
        <row r="77">
          <cell r="J77">
            <v>811647</v>
          </cell>
        </row>
      </sheetData>
    </sheetDataSet>
  </externalBook>
</externalLink>
</file>

<file path=xl/externalLinks/externalLink193.xml><?xml version="1.0" encoding="utf-8"?>
<externalLink xmlns="http://schemas.openxmlformats.org/spreadsheetml/2006/main">
  <externalBook xmlns:r="http://schemas.openxmlformats.org/officeDocument/2006/relationships" r:id="rId1">
    <sheetNames>
      <sheetName val="Aug08loa"/>
      <sheetName val="Aug08l&amp;a"/>
    </sheetNames>
    <sheetDataSet>
      <sheetData sheetId="0">
        <row r="19">
          <cell r="I19">
            <v>122478</v>
          </cell>
        </row>
        <row r="23">
          <cell r="I23">
            <v>109097</v>
          </cell>
        </row>
        <row r="25">
          <cell r="J25">
            <v>647700</v>
          </cell>
        </row>
        <row r="30">
          <cell r="I30">
            <v>373378</v>
          </cell>
        </row>
        <row r="31">
          <cell r="I31">
            <v>3830542</v>
          </cell>
        </row>
        <row r="32">
          <cell r="I32">
            <v>0</v>
          </cell>
        </row>
        <row r="33">
          <cell r="I33">
            <v>114575</v>
          </cell>
        </row>
        <row r="34">
          <cell r="I34">
            <v>123097</v>
          </cell>
        </row>
        <row r="35">
          <cell r="I35">
            <v>258189</v>
          </cell>
        </row>
        <row r="36">
          <cell r="I36">
            <v>303042</v>
          </cell>
        </row>
        <row r="37">
          <cell r="I37">
            <v>717792</v>
          </cell>
        </row>
        <row r="38">
          <cell r="I38">
            <v>348515</v>
          </cell>
        </row>
        <row r="39">
          <cell r="I39">
            <v>2975042</v>
          </cell>
        </row>
        <row r="42">
          <cell r="I42">
            <v>10291884</v>
          </cell>
        </row>
        <row r="43">
          <cell r="I43">
            <v>1065577</v>
          </cell>
        </row>
        <row r="44">
          <cell r="I44">
            <v>361765</v>
          </cell>
        </row>
        <row r="46">
          <cell r="J46">
            <v>738313</v>
          </cell>
        </row>
        <row r="49">
          <cell r="I49">
            <v>4801244</v>
          </cell>
        </row>
        <row r="50">
          <cell r="I50">
            <v>21666</v>
          </cell>
        </row>
        <row r="51">
          <cell r="I51">
            <v>5928016</v>
          </cell>
        </row>
        <row r="53">
          <cell r="J53">
            <v>3374631</v>
          </cell>
        </row>
        <row r="56">
          <cell r="I56">
            <v>2603504</v>
          </cell>
        </row>
        <row r="57">
          <cell r="I57">
            <v>46</v>
          </cell>
        </row>
        <row r="58">
          <cell r="I58">
            <v>13987420</v>
          </cell>
        </row>
        <row r="59">
          <cell r="I59">
            <v>12791224</v>
          </cell>
        </row>
        <row r="61">
          <cell r="J61">
            <v>21569155</v>
          </cell>
        </row>
        <row r="63">
          <cell r="J63">
            <v>36513796</v>
          </cell>
        </row>
        <row r="65">
          <cell r="J65">
            <v>374513</v>
          </cell>
        </row>
        <row r="67">
          <cell r="J67">
            <v>14946535</v>
          </cell>
        </row>
        <row r="73">
          <cell r="J73">
            <v>81877256</v>
          </cell>
        </row>
        <row r="77">
          <cell r="J77">
            <v>4768630</v>
          </cell>
        </row>
      </sheetData>
    </sheetDataSet>
  </externalBook>
</externalLink>
</file>

<file path=xl/externalLinks/externalLink194.xml><?xml version="1.0" encoding="utf-8"?>
<externalLink xmlns="http://schemas.openxmlformats.org/spreadsheetml/2006/main">
  <externalBook xmlns:r="http://schemas.openxmlformats.org/officeDocument/2006/relationships" r:id="rId1">
    <sheetNames>
      <sheetName val="Sep08loa"/>
      <sheetName val="Sep08l&amp;a"/>
    </sheetNames>
    <sheetDataSet>
      <sheetData sheetId="0">
        <row r="19">
          <cell r="I19">
            <v>101992</v>
          </cell>
        </row>
        <row r="23">
          <cell r="I23">
            <v>109097</v>
          </cell>
        </row>
        <row r="25">
          <cell r="J25">
            <v>608879</v>
          </cell>
        </row>
        <row r="30">
          <cell r="I30">
            <v>370940</v>
          </cell>
        </row>
        <row r="31">
          <cell r="I31">
            <v>3822638</v>
          </cell>
        </row>
        <row r="32">
          <cell r="I32">
            <v>0</v>
          </cell>
        </row>
        <row r="33">
          <cell r="I33">
            <v>107941</v>
          </cell>
        </row>
        <row r="34">
          <cell r="I34">
            <v>112934</v>
          </cell>
        </row>
        <row r="35">
          <cell r="I35">
            <v>274756</v>
          </cell>
        </row>
        <row r="36">
          <cell r="I36">
            <v>295196</v>
          </cell>
        </row>
        <row r="37">
          <cell r="I37">
            <v>919428</v>
          </cell>
        </row>
        <row r="38">
          <cell r="I38">
            <v>352468</v>
          </cell>
        </row>
        <row r="39">
          <cell r="I39">
            <v>2956000</v>
          </cell>
        </row>
        <row r="42">
          <cell r="I42">
            <v>10631139</v>
          </cell>
        </row>
        <row r="43">
          <cell r="I43">
            <v>1095022</v>
          </cell>
        </row>
        <row r="44">
          <cell r="I44">
            <v>360160</v>
          </cell>
        </row>
        <row r="46">
          <cell r="J46">
            <v>764319</v>
          </cell>
        </row>
        <row r="49">
          <cell r="I49">
            <v>4856957</v>
          </cell>
        </row>
        <row r="50">
          <cell r="I50">
            <v>20855</v>
          </cell>
        </row>
        <row r="51">
          <cell r="I51">
            <v>6374443</v>
          </cell>
        </row>
        <row r="53">
          <cell r="J53">
            <v>3394047</v>
          </cell>
        </row>
        <row r="56">
          <cell r="I56">
            <v>2625057</v>
          </cell>
        </row>
        <row r="57">
          <cell r="I57">
            <v>2853</v>
          </cell>
        </row>
        <row r="58">
          <cell r="I58">
            <v>15172158</v>
          </cell>
        </row>
        <row r="59">
          <cell r="I59">
            <v>13040633</v>
          </cell>
        </row>
        <row r="61">
          <cell r="J61">
            <v>22431573</v>
          </cell>
        </row>
        <row r="63">
          <cell r="J63">
            <v>36127134</v>
          </cell>
        </row>
        <row r="65">
          <cell r="J65">
            <v>382709</v>
          </cell>
        </row>
        <row r="67">
          <cell r="J67">
            <v>14919713</v>
          </cell>
        </row>
        <row r="73">
          <cell r="J73">
            <v>82750450</v>
          </cell>
        </row>
        <row r="77">
          <cell r="J77">
            <v>4893056</v>
          </cell>
        </row>
      </sheetData>
    </sheetDataSet>
  </externalBook>
</externalLink>
</file>

<file path=xl/externalLinks/externalLink195.xml><?xml version="1.0" encoding="utf-8"?>
<externalLink xmlns="http://schemas.openxmlformats.org/spreadsheetml/2006/main">
  <externalBook xmlns:r="http://schemas.openxmlformats.org/officeDocument/2006/relationships" r:id="rId1">
    <sheetNames>
      <sheetName val="Oct08loa"/>
      <sheetName val="Oct08l&amp;a"/>
    </sheetNames>
    <sheetDataSet>
      <sheetData sheetId="0">
        <row r="19">
          <cell r="I19">
            <v>188891</v>
          </cell>
        </row>
        <row r="23">
          <cell r="I23">
            <v>109097</v>
          </cell>
        </row>
        <row r="25">
          <cell r="J25">
            <v>620603</v>
          </cell>
        </row>
        <row r="30">
          <cell r="I30">
            <v>466847</v>
          </cell>
        </row>
        <row r="31">
          <cell r="I31">
            <v>4253034</v>
          </cell>
        </row>
        <row r="32">
          <cell r="I32">
            <v>0</v>
          </cell>
        </row>
        <row r="33">
          <cell r="I33">
            <v>107615</v>
          </cell>
        </row>
        <row r="34">
          <cell r="I34">
            <v>100845</v>
          </cell>
        </row>
        <row r="35">
          <cell r="I35">
            <v>330197</v>
          </cell>
        </row>
        <row r="36">
          <cell r="I36">
            <v>312759</v>
          </cell>
        </row>
        <row r="37">
          <cell r="I37">
            <v>912021</v>
          </cell>
        </row>
        <row r="38">
          <cell r="I38">
            <v>391261</v>
          </cell>
        </row>
        <row r="39">
          <cell r="I39">
            <v>3045870</v>
          </cell>
        </row>
        <row r="42">
          <cell r="I42">
            <v>11418513</v>
          </cell>
        </row>
        <row r="43">
          <cell r="I43">
            <v>1246830</v>
          </cell>
        </row>
        <row r="44">
          <cell r="I44">
            <v>363358</v>
          </cell>
        </row>
        <row r="46">
          <cell r="J46">
            <v>1138809</v>
          </cell>
        </row>
        <row r="49">
          <cell r="I49">
            <v>4586762</v>
          </cell>
        </row>
        <row r="50">
          <cell r="I50">
            <v>30253</v>
          </cell>
        </row>
        <row r="51">
          <cell r="I51">
            <v>6438116</v>
          </cell>
        </row>
        <row r="53">
          <cell r="J53">
            <v>3169695</v>
          </cell>
        </row>
        <row r="56">
          <cell r="I56">
            <v>5347824</v>
          </cell>
        </row>
        <row r="57">
          <cell r="I57">
            <v>3301</v>
          </cell>
        </row>
        <row r="58">
          <cell r="I58">
            <v>15701422</v>
          </cell>
        </row>
        <row r="59">
          <cell r="I59">
            <v>10441032</v>
          </cell>
        </row>
        <row r="61">
          <cell r="J61">
            <v>22680611</v>
          </cell>
        </row>
        <row r="63">
          <cell r="J63">
            <v>37741023</v>
          </cell>
        </row>
        <row r="65">
          <cell r="J65">
            <v>418241</v>
          </cell>
        </row>
        <row r="67">
          <cell r="J67">
            <v>15413072</v>
          </cell>
        </row>
        <row r="73">
          <cell r="J73">
            <v>83313687</v>
          </cell>
        </row>
        <row r="77">
          <cell r="J77">
            <v>5781609</v>
          </cell>
        </row>
      </sheetData>
    </sheetDataSet>
  </externalBook>
</externalLink>
</file>

<file path=xl/externalLinks/externalLink196.xml><?xml version="1.0" encoding="utf-8"?>
<externalLink xmlns="http://schemas.openxmlformats.org/spreadsheetml/2006/main">
  <externalBook xmlns:r="http://schemas.openxmlformats.org/officeDocument/2006/relationships" r:id="rId1">
    <sheetNames>
      <sheetName val="Nov08loa"/>
      <sheetName val="Nov08l&amp;a"/>
    </sheetNames>
    <sheetDataSet>
      <sheetData sheetId="0">
        <row r="19">
          <cell r="I19">
            <v>251396</v>
          </cell>
        </row>
        <row r="23">
          <cell r="I23">
            <v>785</v>
          </cell>
        </row>
        <row r="25">
          <cell r="J25">
            <v>708460</v>
          </cell>
        </row>
        <row r="30">
          <cell r="I30">
            <v>362631</v>
          </cell>
        </row>
        <row r="31">
          <cell r="I31">
            <v>4224048</v>
          </cell>
        </row>
        <row r="32">
          <cell r="I32">
            <v>0</v>
          </cell>
        </row>
        <row r="33">
          <cell r="I33">
            <v>101739</v>
          </cell>
        </row>
        <row r="34">
          <cell r="I34">
            <v>113004</v>
          </cell>
        </row>
        <row r="35">
          <cell r="I35">
            <v>279719</v>
          </cell>
        </row>
        <row r="36">
          <cell r="I36">
            <v>306641</v>
          </cell>
        </row>
        <row r="37">
          <cell r="I37">
            <v>983233</v>
          </cell>
        </row>
        <row r="38">
          <cell r="I38">
            <v>351941</v>
          </cell>
        </row>
        <row r="39">
          <cell r="I39">
            <v>3046071</v>
          </cell>
        </row>
        <row r="42">
          <cell r="I42">
            <v>11709265</v>
          </cell>
        </row>
        <row r="43">
          <cell r="I43">
            <v>1263131</v>
          </cell>
        </row>
        <row r="44">
          <cell r="I44">
            <v>353588</v>
          </cell>
        </row>
        <row r="46">
          <cell r="J46">
            <v>1126264</v>
          </cell>
        </row>
        <row r="49">
          <cell r="I49">
            <v>4634382</v>
          </cell>
        </row>
        <row r="50">
          <cell r="I50">
            <v>23208</v>
          </cell>
        </row>
        <row r="51">
          <cell r="I51">
            <v>6582644</v>
          </cell>
        </row>
        <row r="53">
          <cell r="J53">
            <v>3005882</v>
          </cell>
        </row>
        <row r="56">
          <cell r="I56">
            <v>5813678</v>
          </cell>
        </row>
        <row r="57">
          <cell r="I57">
            <v>5077</v>
          </cell>
        </row>
        <row r="58">
          <cell r="I58">
            <v>15276084</v>
          </cell>
        </row>
        <row r="59">
          <cell r="I59">
            <v>9128658</v>
          </cell>
        </row>
        <row r="61">
          <cell r="J61">
            <v>22742618</v>
          </cell>
        </row>
        <row r="63">
          <cell r="J63">
            <v>37919561</v>
          </cell>
        </row>
        <row r="65">
          <cell r="J65">
            <v>413333</v>
          </cell>
        </row>
        <row r="67">
          <cell r="J67">
            <v>16302784</v>
          </cell>
        </row>
        <row r="73">
          <cell r="J73">
            <v>84149487</v>
          </cell>
        </row>
        <row r="77">
          <cell r="J77">
            <v>5810739</v>
          </cell>
        </row>
      </sheetData>
    </sheetDataSet>
  </externalBook>
</externalLink>
</file>

<file path=xl/externalLinks/externalLink197.xml><?xml version="1.0" encoding="utf-8"?>
<externalLink xmlns="http://schemas.openxmlformats.org/spreadsheetml/2006/main">
  <externalBook xmlns:r="http://schemas.openxmlformats.org/officeDocument/2006/relationships" r:id="rId1">
    <sheetNames>
      <sheetName val="Dec08loa"/>
      <sheetName val="Dec08l&amp;a"/>
    </sheetNames>
    <sheetDataSet>
      <sheetData sheetId="0">
        <row r="19">
          <cell r="I19">
            <v>238581</v>
          </cell>
        </row>
        <row r="23">
          <cell r="I23">
            <v>398</v>
          </cell>
        </row>
        <row r="25">
          <cell r="J25">
            <v>700889</v>
          </cell>
        </row>
        <row r="30">
          <cell r="I30">
            <v>528707</v>
          </cell>
        </row>
        <row r="31">
          <cell r="I31">
            <v>4238414</v>
          </cell>
        </row>
        <row r="32">
          <cell r="I32">
            <v>0</v>
          </cell>
        </row>
        <row r="33">
          <cell r="I33">
            <v>115242</v>
          </cell>
        </row>
        <row r="34">
          <cell r="I34">
            <v>113905</v>
          </cell>
        </row>
        <row r="35">
          <cell r="I35">
            <v>260740</v>
          </cell>
        </row>
        <row r="36">
          <cell r="I36">
            <v>345183</v>
          </cell>
        </row>
        <row r="37">
          <cell r="I37">
            <v>851910</v>
          </cell>
        </row>
        <row r="38">
          <cell r="I38">
            <v>337751</v>
          </cell>
        </row>
        <row r="39">
          <cell r="I39">
            <v>2510794</v>
          </cell>
        </row>
        <row r="42">
          <cell r="I42">
            <v>11242811</v>
          </cell>
        </row>
        <row r="43">
          <cell r="I43">
            <v>1299337</v>
          </cell>
        </row>
        <row r="44">
          <cell r="I44">
            <v>359970</v>
          </cell>
        </row>
        <row r="46">
          <cell r="J46">
            <v>1160368</v>
          </cell>
        </row>
        <row r="49">
          <cell r="I49">
            <v>4621757</v>
          </cell>
        </row>
        <row r="50">
          <cell r="I50">
            <v>48444</v>
          </cell>
        </row>
        <row r="51">
          <cell r="I51">
            <v>6797955</v>
          </cell>
        </row>
        <row r="53">
          <cell r="J53">
            <v>3353462</v>
          </cell>
        </row>
        <row r="56">
          <cell r="I56">
            <v>5627468</v>
          </cell>
        </row>
        <row r="57">
          <cell r="I57">
            <v>4517</v>
          </cell>
        </row>
        <row r="58">
          <cell r="I58">
            <v>15790131</v>
          </cell>
        </row>
        <row r="59">
          <cell r="I59">
            <v>9353301</v>
          </cell>
        </row>
        <row r="61">
          <cell r="J61">
            <v>23099567</v>
          </cell>
        </row>
        <row r="63">
          <cell r="J63">
            <v>40769013</v>
          </cell>
        </row>
        <row r="65">
          <cell r="J65">
            <v>414752</v>
          </cell>
        </row>
        <row r="67">
          <cell r="J67">
            <v>16769574</v>
          </cell>
        </row>
        <row r="73">
          <cell r="J73">
            <v>84877324</v>
          </cell>
        </row>
        <row r="77">
          <cell r="J77">
            <v>5986172</v>
          </cell>
        </row>
      </sheetData>
    </sheetDataSet>
  </externalBook>
</externalLink>
</file>

<file path=xl/externalLinks/externalLink198.xml><?xml version="1.0" encoding="utf-8"?>
<externalLink xmlns="http://schemas.openxmlformats.org/spreadsheetml/2006/main">
  <externalBook xmlns:r="http://schemas.openxmlformats.org/officeDocument/2006/relationships" r:id="rId1">
    <sheetNames>
      <sheetName val="Apr09loa"/>
      <sheetName val="Apr09l&amp;a"/>
    </sheetNames>
    <sheetDataSet>
      <sheetData sheetId="0">
        <row r="10">
          <cell r="I10">
            <v>4235188</v>
          </cell>
        </row>
        <row r="19">
          <cell r="I19">
            <v>525990</v>
          </cell>
        </row>
        <row r="23">
          <cell r="I23">
            <v>398</v>
          </cell>
        </row>
        <row r="25">
          <cell r="J25">
            <v>598852</v>
          </cell>
        </row>
        <row r="30">
          <cell r="I30">
            <v>1068883</v>
          </cell>
        </row>
        <row r="31">
          <cell r="I31">
            <v>3601324</v>
          </cell>
        </row>
        <row r="32">
          <cell r="I32">
            <v>0</v>
          </cell>
        </row>
        <row r="33">
          <cell r="I33">
            <v>110157</v>
          </cell>
        </row>
        <row r="34">
          <cell r="I34">
            <v>100721</v>
          </cell>
        </row>
        <row r="35">
          <cell r="I35">
            <v>327656</v>
          </cell>
        </row>
        <row r="36">
          <cell r="I36">
            <v>355504</v>
          </cell>
        </row>
        <row r="37">
          <cell r="I37">
            <v>555651</v>
          </cell>
        </row>
        <row r="38">
          <cell r="I38">
            <v>244001</v>
          </cell>
        </row>
        <row r="39">
          <cell r="I39">
            <v>2320596</v>
          </cell>
        </row>
        <row r="42">
          <cell r="I42">
            <v>13413517</v>
          </cell>
        </row>
        <row r="43">
          <cell r="I43">
            <v>1081220</v>
          </cell>
        </row>
        <row r="44">
          <cell r="I44">
            <v>296992</v>
          </cell>
        </row>
        <row r="46">
          <cell r="J46">
            <v>1172685</v>
          </cell>
        </row>
        <row r="49">
          <cell r="I49">
            <v>4812434</v>
          </cell>
        </row>
        <row r="50">
          <cell r="I50">
            <v>328942</v>
          </cell>
        </row>
        <row r="51">
          <cell r="I51">
            <v>7187245</v>
          </cell>
        </row>
        <row r="53">
          <cell r="J53">
            <v>3556435</v>
          </cell>
        </row>
        <row r="56">
          <cell r="I56">
            <v>10683037</v>
          </cell>
        </row>
        <row r="57">
          <cell r="I57">
            <v>268</v>
          </cell>
        </row>
        <row r="58">
          <cell r="I58">
            <v>13672802</v>
          </cell>
        </row>
        <row r="59">
          <cell r="I59">
            <v>8904758</v>
          </cell>
        </row>
        <row r="61">
          <cell r="J61">
            <v>24976576</v>
          </cell>
        </row>
        <row r="63">
          <cell r="J63">
            <v>44134262</v>
          </cell>
        </row>
        <row r="65">
          <cell r="J65">
            <v>484149</v>
          </cell>
        </row>
        <row r="67">
          <cell r="J67">
            <v>16610168</v>
          </cell>
        </row>
        <row r="73">
          <cell r="J73">
            <v>85653468</v>
          </cell>
        </row>
        <row r="77">
          <cell r="J77">
            <v>7061812</v>
          </cell>
        </row>
      </sheetData>
    </sheetDataSet>
  </externalBook>
</externalLink>
</file>

<file path=xl/externalLinks/externalLink199.xml><?xml version="1.0" encoding="utf-8"?>
<externalLink xmlns="http://schemas.openxmlformats.org/spreadsheetml/2006/main">
  <externalBook xmlns:r="http://schemas.openxmlformats.org/officeDocument/2006/relationships" r:id="rId1">
    <sheetNames>
      <sheetName val="May09loa"/>
      <sheetName val="May09l&amp;a"/>
    </sheetNames>
    <sheetDataSet>
      <sheetData sheetId="0">
        <row r="19">
          <cell r="I19">
            <v>419069</v>
          </cell>
        </row>
        <row r="23">
          <cell r="I23">
            <v>398</v>
          </cell>
        </row>
        <row r="25">
          <cell r="J25">
            <v>601971</v>
          </cell>
        </row>
        <row r="30">
          <cell r="I30">
            <v>1519683</v>
          </cell>
        </row>
        <row r="31">
          <cell r="I31">
            <v>3799189</v>
          </cell>
        </row>
        <row r="32">
          <cell r="I32">
            <v>7800</v>
          </cell>
        </row>
        <row r="33">
          <cell r="I33">
            <v>102413</v>
          </cell>
        </row>
        <row r="34">
          <cell r="I34">
            <v>117949</v>
          </cell>
        </row>
        <row r="35">
          <cell r="I35">
            <v>260294</v>
          </cell>
        </row>
        <row r="36">
          <cell r="I36">
            <v>391466</v>
          </cell>
        </row>
        <row r="37">
          <cell r="I37">
            <v>573216</v>
          </cell>
        </row>
        <row r="38">
          <cell r="I38">
            <v>257478</v>
          </cell>
        </row>
        <row r="39">
          <cell r="I39">
            <v>2247543</v>
          </cell>
        </row>
        <row r="42">
          <cell r="I42">
            <v>13844280</v>
          </cell>
        </row>
        <row r="43">
          <cell r="I43">
            <v>1159160</v>
          </cell>
        </row>
        <row r="44">
          <cell r="I44">
            <v>313362</v>
          </cell>
        </row>
        <row r="46">
          <cell r="J46">
            <v>1156880</v>
          </cell>
        </row>
        <row r="49">
          <cell r="I49">
            <v>4763119</v>
          </cell>
        </row>
        <row r="50">
          <cell r="I50">
            <v>328886</v>
          </cell>
        </row>
        <row r="51">
          <cell r="I51">
            <v>7233607</v>
          </cell>
        </row>
        <row r="53">
          <cell r="J53">
            <v>3315925</v>
          </cell>
        </row>
        <row r="56">
          <cell r="I56">
            <v>14121262</v>
          </cell>
        </row>
        <row r="57">
          <cell r="I57">
            <v>583</v>
          </cell>
        </row>
        <row r="58">
          <cell r="I58">
            <v>13045660</v>
          </cell>
        </row>
        <row r="59">
          <cell r="I59">
            <v>5564357</v>
          </cell>
        </row>
        <row r="61">
          <cell r="J61">
            <v>25009699</v>
          </cell>
        </row>
        <row r="63">
          <cell r="J63">
            <v>43919727</v>
          </cell>
        </row>
        <row r="65">
          <cell r="J65">
            <v>487648</v>
          </cell>
        </row>
        <row r="67">
          <cell r="J67">
            <v>17759472</v>
          </cell>
        </row>
        <row r="73">
          <cell r="J73">
            <v>84130961</v>
          </cell>
        </row>
        <row r="77">
          <cell r="J77">
            <v>7054379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06l&amp;a"/>
    </sheetNames>
    <sheetDataSet>
      <sheetData sheetId="0">
        <row r="19">
          <cell r="H19">
            <v>174309</v>
          </cell>
        </row>
        <row r="23">
          <cell r="H23">
            <v>242354</v>
          </cell>
        </row>
        <row r="25">
          <cell r="I25">
            <v>361125</v>
          </cell>
        </row>
        <row r="30">
          <cell r="H30">
            <v>299009</v>
          </cell>
        </row>
        <row r="31">
          <cell r="H31">
            <v>1754859</v>
          </cell>
        </row>
        <row r="32">
          <cell r="H32">
            <v>8</v>
          </cell>
        </row>
        <row r="33">
          <cell r="H33">
            <v>255219</v>
          </cell>
        </row>
        <row r="34">
          <cell r="H34">
            <v>187384</v>
          </cell>
        </row>
        <row r="35">
          <cell r="H35">
            <v>79908</v>
          </cell>
        </row>
        <row r="36">
          <cell r="H36">
            <v>205382</v>
          </cell>
        </row>
        <row r="37">
          <cell r="H37">
            <v>586255</v>
          </cell>
        </row>
        <row r="38">
          <cell r="H38">
            <v>139650</v>
          </cell>
        </row>
        <row r="39">
          <cell r="H39">
            <v>1370543</v>
          </cell>
        </row>
        <row r="42">
          <cell r="H42">
            <v>5477255</v>
          </cell>
        </row>
        <row r="43">
          <cell r="H43">
            <v>119393</v>
          </cell>
        </row>
        <row r="44">
          <cell r="H44">
            <v>241369</v>
          </cell>
        </row>
        <row r="46">
          <cell r="I46">
            <v>1359051</v>
          </cell>
        </row>
        <row r="49">
          <cell r="H49">
            <v>1476171</v>
          </cell>
        </row>
        <row r="50">
          <cell r="H50">
            <v>31440</v>
          </cell>
        </row>
        <row r="51">
          <cell r="H51">
            <v>3683866</v>
          </cell>
        </row>
        <row r="53">
          <cell r="I53">
            <v>747702</v>
          </cell>
        </row>
        <row r="56">
          <cell r="H56">
            <v>7152976</v>
          </cell>
        </row>
        <row r="57">
          <cell r="H57">
            <v>3432</v>
          </cell>
        </row>
        <row r="58">
          <cell r="H58">
            <v>9690600</v>
          </cell>
        </row>
        <row r="59">
          <cell r="H59">
            <v>12205175</v>
          </cell>
        </row>
        <row r="61">
          <cell r="I61">
            <v>9761232</v>
          </cell>
        </row>
        <row r="63">
          <cell r="I63">
            <v>20887606</v>
          </cell>
        </row>
        <row r="65">
          <cell r="I65">
            <v>282798</v>
          </cell>
        </row>
        <row r="67">
          <cell r="I67">
            <v>8108677</v>
          </cell>
        </row>
        <row r="73">
          <cell r="I73">
            <v>43614117</v>
          </cell>
        </row>
        <row r="77">
          <cell r="I77">
            <v>14863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ep11loa"/>
    </sheetNames>
    <sheetDataSet>
      <sheetData sheetId="0">
        <row r="10">
          <cell r="I10">
            <v>4145640</v>
          </cell>
        </row>
        <row r="19">
          <cell r="I19">
            <v>734431</v>
          </cell>
        </row>
        <row r="23">
          <cell r="I23">
            <v>29831</v>
          </cell>
        </row>
        <row r="25">
          <cell r="J25">
            <v>493535</v>
          </cell>
        </row>
        <row r="30">
          <cell r="I30">
            <v>177229</v>
          </cell>
        </row>
        <row r="31">
          <cell r="I31">
            <v>1955543</v>
          </cell>
        </row>
        <row r="32">
          <cell r="I32">
            <v>0</v>
          </cell>
        </row>
        <row r="33">
          <cell r="I33">
            <v>124204</v>
          </cell>
        </row>
        <row r="34">
          <cell r="I34">
            <v>142723</v>
          </cell>
        </row>
        <row r="35">
          <cell r="I35">
            <v>658013</v>
          </cell>
        </row>
        <row r="36">
          <cell r="I36">
            <v>214465</v>
          </cell>
        </row>
        <row r="37">
          <cell r="I37">
            <v>1087097</v>
          </cell>
        </row>
        <row r="38">
          <cell r="I38">
            <v>437799</v>
          </cell>
        </row>
        <row r="39">
          <cell r="I39">
            <v>2995629</v>
          </cell>
        </row>
        <row r="42">
          <cell r="I42">
            <v>19032259</v>
          </cell>
        </row>
        <row r="43">
          <cell r="I43">
            <v>604248</v>
          </cell>
        </row>
        <row r="44">
          <cell r="I44">
            <v>179385</v>
          </cell>
        </row>
        <row r="46">
          <cell r="J46">
            <v>1293938</v>
          </cell>
        </row>
        <row r="49">
          <cell r="I49">
            <v>4347105</v>
          </cell>
        </row>
        <row r="50">
          <cell r="I50">
            <v>537684</v>
          </cell>
        </row>
        <row r="51">
          <cell r="I51">
            <v>4211027</v>
          </cell>
        </row>
        <row r="53">
          <cell r="J53">
            <v>5671676</v>
          </cell>
        </row>
        <row r="56">
          <cell r="I56">
            <v>10136763</v>
          </cell>
        </row>
        <row r="57">
          <cell r="I57">
            <v>359</v>
          </cell>
        </row>
        <row r="58">
          <cell r="I58">
            <v>13790367</v>
          </cell>
        </row>
        <row r="59">
          <cell r="I59">
            <v>858388</v>
          </cell>
        </row>
        <row r="61">
          <cell r="J61">
            <v>26955291</v>
          </cell>
        </row>
        <row r="63">
          <cell r="J63">
            <v>31497311</v>
          </cell>
        </row>
        <row r="65">
          <cell r="J65">
            <v>483844</v>
          </cell>
        </row>
        <row r="67">
          <cell r="J67">
            <v>16201827</v>
          </cell>
        </row>
        <row r="73">
          <cell r="J73">
            <v>97236936</v>
          </cell>
        </row>
        <row r="77">
          <cell r="J77">
            <v>7448549</v>
          </cell>
        </row>
      </sheetData>
    </sheetDataSet>
  </externalBook>
</externalLink>
</file>

<file path=xl/externalLinks/externalLink200.xml><?xml version="1.0" encoding="utf-8"?>
<externalLink xmlns="http://schemas.openxmlformats.org/spreadsheetml/2006/main">
  <externalBook xmlns:r="http://schemas.openxmlformats.org/officeDocument/2006/relationships" r:id="rId1">
    <sheetNames>
      <sheetName val="Nov09loa"/>
      <sheetName val="Nov09l&amp;a"/>
    </sheetNames>
    <sheetDataSet>
      <sheetData sheetId="0">
        <row r="19">
          <cell r="I19">
            <v>132887</v>
          </cell>
        </row>
        <row r="23">
          <cell r="I23">
            <v>398</v>
          </cell>
        </row>
        <row r="25">
          <cell r="J25">
            <v>759587</v>
          </cell>
        </row>
        <row r="30">
          <cell r="I30">
            <v>281025</v>
          </cell>
        </row>
        <row r="31">
          <cell r="I31">
            <v>2740400</v>
          </cell>
        </row>
        <row r="32">
          <cell r="I32">
            <v>0</v>
          </cell>
        </row>
        <row r="33">
          <cell r="I33">
            <v>108210</v>
          </cell>
        </row>
        <row r="34">
          <cell r="I34">
            <v>159207</v>
          </cell>
        </row>
        <row r="35">
          <cell r="I35">
            <v>468737</v>
          </cell>
        </row>
        <row r="36">
          <cell r="I36">
            <v>320167</v>
          </cell>
        </row>
        <row r="37">
          <cell r="I37">
            <v>823400</v>
          </cell>
        </row>
        <row r="38">
          <cell r="I38">
            <v>935855</v>
          </cell>
        </row>
        <row r="39">
          <cell r="I39">
            <v>2793633</v>
          </cell>
        </row>
        <row r="42">
          <cell r="I42">
            <v>19233467</v>
          </cell>
        </row>
        <row r="43">
          <cell r="I43">
            <v>1185811</v>
          </cell>
        </row>
        <row r="44">
          <cell r="I44">
            <v>248768</v>
          </cell>
        </row>
        <row r="46">
          <cell r="J46">
            <v>1095654</v>
          </cell>
        </row>
        <row r="49">
          <cell r="I49">
            <v>4502581</v>
          </cell>
        </row>
        <row r="50">
          <cell r="I50">
            <v>321289</v>
          </cell>
        </row>
        <row r="51">
          <cell r="I51">
            <v>3682523</v>
          </cell>
        </row>
        <row r="53">
          <cell r="J53">
            <v>4271144</v>
          </cell>
        </row>
        <row r="56">
          <cell r="I56">
            <v>12766340</v>
          </cell>
        </row>
        <row r="57">
          <cell r="I57">
            <v>6863</v>
          </cell>
        </row>
        <row r="58">
          <cell r="I58">
            <v>20240379</v>
          </cell>
        </row>
        <row r="59">
          <cell r="I59">
            <v>1291651</v>
          </cell>
        </row>
        <row r="61">
          <cell r="J61">
            <v>24020118</v>
          </cell>
        </row>
        <row r="63">
          <cell r="J63">
            <v>39694865</v>
          </cell>
        </row>
        <row r="65">
          <cell r="J65">
            <v>542618</v>
          </cell>
        </row>
        <row r="67">
          <cell r="J67">
            <v>16489401</v>
          </cell>
        </row>
        <row r="73">
          <cell r="J73">
            <v>83547460</v>
          </cell>
        </row>
        <row r="77">
          <cell r="J77">
            <v>7057609</v>
          </cell>
        </row>
      </sheetData>
    </sheetDataSet>
  </externalBook>
</externalLink>
</file>

<file path=xl/externalLinks/externalLink201.xml><?xml version="1.0" encoding="utf-8"?>
<externalLink xmlns="http://schemas.openxmlformats.org/spreadsheetml/2006/main">
  <externalBook xmlns:r="http://schemas.openxmlformats.org/officeDocument/2006/relationships" r:id="rId1">
    <sheetNames>
      <sheetName val="Dec09loa"/>
      <sheetName val="Dec09l&amp;a"/>
    </sheetNames>
    <sheetDataSet>
      <sheetData sheetId="0">
        <row r="19">
          <cell r="I19">
            <v>134276</v>
          </cell>
        </row>
        <row r="23">
          <cell r="I23">
            <v>398</v>
          </cell>
        </row>
        <row r="25">
          <cell r="J25">
            <v>432276</v>
          </cell>
        </row>
        <row r="30">
          <cell r="I30">
            <v>422804</v>
          </cell>
        </row>
        <row r="31">
          <cell r="I31">
            <v>2561799</v>
          </cell>
        </row>
        <row r="32">
          <cell r="I32">
            <v>616</v>
          </cell>
        </row>
        <row r="33">
          <cell r="I33">
            <v>132431</v>
          </cell>
        </row>
        <row r="34">
          <cell r="I34">
            <v>152889</v>
          </cell>
        </row>
        <row r="35">
          <cell r="I35">
            <v>465735</v>
          </cell>
        </row>
        <row r="36">
          <cell r="I36">
            <v>355426</v>
          </cell>
        </row>
        <row r="37">
          <cell r="I37">
            <v>1003793</v>
          </cell>
        </row>
        <row r="38">
          <cell r="I38">
            <v>943525</v>
          </cell>
        </row>
        <row r="39">
          <cell r="I39">
            <v>3353946</v>
          </cell>
        </row>
        <row r="42">
          <cell r="I42">
            <v>18433556</v>
          </cell>
        </row>
        <row r="43">
          <cell r="I43">
            <v>1239189</v>
          </cell>
        </row>
        <row r="44">
          <cell r="I44">
            <v>236615</v>
          </cell>
        </row>
        <row r="46">
          <cell r="J46">
            <v>1027752</v>
          </cell>
        </row>
        <row r="49">
          <cell r="I49">
            <v>4600520</v>
          </cell>
        </row>
        <row r="50">
          <cell r="I50">
            <v>322353</v>
          </cell>
        </row>
        <row r="51">
          <cell r="I51">
            <v>2888109</v>
          </cell>
        </row>
        <row r="53">
          <cell r="J53">
            <v>4882390</v>
          </cell>
        </row>
        <row r="56">
          <cell r="I56">
            <v>12639417</v>
          </cell>
        </row>
        <row r="57">
          <cell r="I57">
            <v>6982</v>
          </cell>
        </row>
        <row r="58">
          <cell r="I58">
            <v>19995953</v>
          </cell>
        </row>
        <row r="59">
          <cell r="I59">
            <v>1255888</v>
          </cell>
        </row>
        <row r="61">
          <cell r="J61">
            <v>25548697</v>
          </cell>
        </row>
        <row r="63">
          <cell r="J63">
            <v>39649517</v>
          </cell>
        </row>
        <row r="65">
          <cell r="J65">
            <v>530921</v>
          </cell>
        </row>
        <row r="67">
          <cell r="J67">
            <v>16675299</v>
          </cell>
        </row>
        <row r="73">
          <cell r="J73">
            <v>83716560</v>
          </cell>
        </row>
        <row r="77">
          <cell r="J77">
            <v>7044941</v>
          </cell>
        </row>
      </sheetData>
    </sheetDataSet>
  </externalBook>
</externalLink>
</file>

<file path=xl/externalLinks/externalLink202.xml><?xml version="1.0" encoding="utf-8"?>
<externalLink xmlns="http://schemas.openxmlformats.org/spreadsheetml/2006/main">
  <externalBook xmlns:r="http://schemas.openxmlformats.org/officeDocument/2006/relationships" r:id="rId1">
    <sheetNames>
      <sheetName val="Jan06l&amp;a"/>
    </sheetNames>
    <sheetDataSet>
      <sheetData sheetId="0">
        <row r="19">
          <cell r="H19">
            <v>114970</v>
          </cell>
        </row>
        <row r="23">
          <cell r="H23">
            <v>202516</v>
          </cell>
        </row>
        <row r="25">
          <cell r="I25">
            <v>255435</v>
          </cell>
        </row>
        <row r="30">
          <cell r="H30">
            <v>309181</v>
          </cell>
        </row>
        <row r="31">
          <cell r="H31">
            <v>1857172</v>
          </cell>
        </row>
        <row r="32">
          <cell r="H32">
            <v>7</v>
          </cell>
        </row>
        <row r="33">
          <cell r="H33">
            <v>242792</v>
          </cell>
        </row>
        <row r="34">
          <cell r="H34">
            <v>165521</v>
          </cell>
        </row>
        <row r="35">
          <cell r="H35">
            <v>81596</v>
          </cell>
        </row>
        <row r="36">
          <cell r="H36">
            <v>197697</v>
          </cell>
        </row>
        <row r="37">
          <cell r="H37">
            <v>519876</v>
          </cell>
        </row>
        <row r="38">
          <cell r="H38">
            <v>122419</v>
          </cell>
        </row>
        <row r="39">
          <cell r="H39">
            <v>1491688</v>
          </cell>
        </row>
        <row r="42">
          <cell r="H42">
            <v>5394565</v>
          </cell>
        </row>
        <row r="43">
          <cell r="H43">
            <v>121549</v>
          </cell>
        </row>
        <row r="44">
          <cell r="H44">
            <v>242654</v>
          </cell>
        </row>
        <row r="46">
          <cell r="I46">
            <v>541810</v>
          </cell>
        </row>
        <row r="49">
          <cell r="H49">
            <v>1474105</v>
          </cell>
        </row>
        <row r="50">
          <cell r="H50">
            <v>38111</v>
          </cell>
        </row>
        <row r="51">
          <cell r="H51">
            <v>3678785</v>
          </cell>
        </row>
        <row r="53">
          <cell r="I53">
            <v>742857</v>
          </cell>
        </row>
        <row r="56">
          <cell r="H56">
            <v>7705939</v>
          </cell>
        </row>
        <row r="57">
          <cell r="H57">
            <v>3103</v>
          </cell>
        </row>
        <row r="58">
          <cell r="H58">
            <v>10730308</v>
          </cell>
        </row>
        <row r="59">
          <cell r="H59">
            <v>11600407</v>
          </cell>
        </row>
        <row r="61">
          <cell r="I61">
            <v>8635271</v>
          </cell>
        </row>
        <row r="63">
          <cell r="I63">
            <v>24030268</v>
          </cell>
        </row>
        <row r="65">
          <cell r="I65">
            <v>287869</v>
          </cell>
        </row>
        <row r="67">
          <cell r="I67">
            <v>7302187</v>
          </cell>
        </row>
        <row r="73">
          <cell r="I73">
            <v>41927630</v>
          </cell>
        </row>
        <row r="77">
          <cell r="I77">
            <v>19113</v>
          </cell>
        </row>
      </sheetData>
    </sheetDataSet>
  </externalBook>
</externalLink>
</file>

<file path=xl/externalLinks/externalLink203.xml><?xml version="1.0" encoding="utf-8"?>
<externalLink xmlns="http://schemas.openxmlformats.org/spreadsheetml/2006/main">
  <externalBook xmlns:r="http://schemas.openxmlformats.org/officeDocument/2006/relationships" r:id="rId1">
    <sheetNames>
      <sheetName val="Dec05l&amp;a"/>
    </sheetNames>
    <sheetDataSet>
      <sheetData sheetId="0">
        <row r="19">
          <cell r="H19">
            <v>111521</v>
          </cell>
        </row>
        <row r="23">
          <cell r="H23">
            <v>201208</v>
          </cell>
        </row>
        <row r="25">
          <cell r="I25">
            <v>252988</v>
          </cell>
        </row>
        <row r="30">
          <cell r="H30">
            <v>340702</v>
          </cell>
        </row>
        <row r="31">
          <cell r="H31">
            <v>1892394</v>
          </cell>
        </row>
        <row r="32">
          <cell r="H32">
            <v>6</v>
          </cell>
        </row>
        <row r="33">
          <cell r="H33">
            <v>230440</v>
          </cell>
        </row>
        <row r="34">
          <cell r="H34">
            <v>151628</v>
          </cell>
        </row>
        <row r="35">
          <cell r="H35">
            <v>89809</v>
          </cell>
        </row>
        <row r="36">
          <cell r="H36">
            <v>216348</v>
          </cell>
        </row>
        <row r="37">
          <cell r="H37">
            <v>370052</v>
          </cell>
        </row>
        <row r="38">
          <cell r="H38">
            <v>135930</v>
          </cell>
        </row>
        <row r="39">
          <cell r="H39">
            <v>1250704</v>
          </cell>
        </row>
        <row r="42">
          <cell r="H42">
            <v>5149328</v>
          </cell>
        </row>
        <row r="43">
          <cell r="H43">
            <v>136490</v>
          </cell>
        </row>
        <row r="44">
          <cell r="H44">
            <v>226493</v>
          </cell>
        </row>
        <row r="46">
          <cell r="I46">
            <v>613928</v>
          </cell>
        </row>
        <row r="49">
          <cell r="H49">
            <v>1486091</v>
          </cell>
        </row>
        <row r="50">
          <cell r="H50">
            <v>41508</v>
          </cell>
        </row>
        <row r="51">
          <cell r="H51">
            <v>3681637</v>
          </cell>
        </row>
        <row r="53">
          <cell r="I53">
            <v>746328</v>
          </cell>
        </row>
        <row r="56">
          <cell r="H56">
            <v>7994575</v>
          </cell>
        </row>
        <row r="57">
          <cell r="H57">
            <v>3890</v>
          </cell>
        </row>
        <row r="58">
          <cell r="H58">
            <v>12977521</v>
          </cell>
        </row>
        <row r="59">
          <cell r="H59">
            <v>11575158</v>
          </cell>
        </row>
        <row r="61">
          <cell r="I61">
            <v>8650979</v>
          </cell>
        </row>
        <row r="63">
          <cell r="I63">
            <v>22917677</v>
          </cell>
        </row>
        <row r="65">
          <cell r="I65">
            <v>274146</v>
          </cell>
        </row>
        <row r="67">
          <cell r="I67">
            <v>7680780</v>
          </cell>
        </row>
        <row r="73">
          <cell r="I73">
            <v>41159738</v>
          </cell>
        </row>
        <row r="77">
          <cell r="I77">
            <v>16406</v>
          </cell>
        </row>
      </sheetData>
    </sheetDataSet>
  </externalBook>
</externalLink>
</file>

<file path=xl/externalLinks/externalLink204.xml><?xml version="1.0" encoding="utf-8"?>
<externalLink xmlns="http://schemas.openxmlformats.org/spreadsheetml/2006/main">
  <externalBook xmlns:r="http://schemas.openxmlformats.org/officeDocument/2006/relationships" r:id="rId1">
    <sheetNames>
      <sheetName val="Aug09loa"/>
    </sheetNames>
    <sheetDataSet>
      <sheetData sheetId="0">
        <row r="10">
          <cell r="I10">
            <v>3663791</v>
          </cell>
        </row>
        <row r="19">
          <cell r="I19">
            <v>149126</v>
          </cell>
        </row>
        <row r="23">
          <cell r="I23">
            <v>398</v>
          </cell>
        </row>
        <row r="25">
          <cell r="J25">
            <v>1102695</v>
          </cell>
        </row>
        <row r="30">
          <cell r="I30">
            <v>1206964</v>
          </cell>
        </row>
        <row r="31">
          <cell r="I31">
            <v>3278833</v>
          </cell>
        </row>
        <row r="32">
          <cell r="I32">
            <v>5140</v>
          </cell>
        </row>
        <row r="33">
          <cell r="I33">
            <v>106801</v>
          </cell>
        </row>
        <row r="34">
          <cell r="I34">
            <v>151356</v>
          </cell>
        </row>
        <row r="35">
          <cell r="I35">
            <v>299856</v>
          </cell>
        </row>
        <row r="36">
          <cell r="I36">
            <v>401619</v>
          </cell>
        </row>
        <row r="37">
          <cell r="I37">
            <v>783225</v>
          </cell>
        </row>
        <row r="38">
          <cell r="I38">
            <v>224599</v>
          </cell>
        </row>
        <row r="39">
          <cell r="I39">
            <v>2696589</v>
          </cell>
        </row>
        <row r="42">
          <cell r="I42">
            <v>17583257</v>
          </cell>
        </row>
        <row r="43">
          <cell r="I43">
            <v>1122066</v>
          </cell>
        </row>
        <row r="44">
          <cell r="I44">
            <v>299516</v>
          </cell>
        </row>
        <row r="46">
          <cell r="J46">
            <v>1120992</v>
          </cell>
        </row>
        <row r="49">
          <cell r="I49">
            <v>4732691</v>
          </cell>
        </row>
        <row r="50">
          <cell r="I50">
            <v>323042</v>
          </cell>
        </row>
        <row r="51">
          <cell r="I51">
            <v>7294412</v>
          </cell>
        </row>
        <row r="53">
          <cell r="J53">
            <v>3710398</v>
          </cell>
        </row>
        <row r="56">
          <cell r="I56">
            <v>13502856</v>
          </cell>
        </row>
        <row r="57">
          <cell r="I57">
            <v>1619</v>
          </cell>
        </row>
        <row r="58">
          <cell r="I58">
            <v>20793061</v>
          </cell>
        </row>
        <row r="59">
          <cell r="I59">
            <v>1351917</v>
          </cell>
        </row>
        <row r="61">
          <cell r="J61">
            <v>24609467</v>
          </cell>
        </row>
        <row r="63">
          <cell r="J63">
            <v>40957661</v>
          </cell>
        </row>
        <row r="65">
          <cell r="J65">
            <v>491596</v>
          </cell>
        </row>
        <row r="67">
          <cell r="J67">
            <v>17386726</v>
          </cell>
        </row>
        <row r="73">
          <cell r="J73">
            <v>83316120</v>
          </cell>
        </row>
        <row r="77">
          <cell r="J77">
            <v>7033590</v>
          </cell>
        </row>
      </sheetData>
    </sheetDataSet>
  </externalBook>
</externalLink>
</file>

<file path=xl/externalLinks/externalLink205.xml><?xml version="1.0" encoding="utf-8"?>
<externalLink xmlns="http://schemas.openxmlformats.org/spreadsheetml/2006/main">
  <externalBook xmlns:r="http://schemas.openxmlformats.org/officeDocument/2006/relationships" r:id="rId1">
    <sheetNames>
      <sheetName val="Sep09loa"/>
      <sheetName val="Sep09l&amp;a"/>
    </sheetNames>
    <sheetDataSet>
      <sheetData sheetId="0">
        <row r="19">
          <cell r="I19">
            <v>135549</v>
          </cell>
        </row>
        <row r="23">
          <cell r="I23">
            <v>398</v>
          </cell>
        </row>
        <row r="25">
          <cell r="J25">
            <v>826266</v>
          </cell>
        </row>
        <row r="30">
          <cell r="I30">
            <v>1123900</v>
          </cell>
        </row>
        <row r="31">
          <cell r="I31">
            <v>3269576</v>
          </cell>
        </row>
        <row r="32">
          <cell r="I32">
            <v>8</v>
          </cell>
        </row>
        <row r="33">
          <cell r="I33">
            <v>99708</v>
          </cell>
        </row>
        <row r="34">
          <cell r="I34">
            <v>117985</v>
          </cell>
        </row>
        <row r="35">
          <cell r="I35">
            <v>292818</v>
          </cell>
        </row>
        <row r="36">
          <cell r="I36">
            <v>274626</v>
          </cell>
        </row>
        <row r="37">
          <cell r="I37">
            <v>740766</v>
          </cell>
        </row>
        <row r="38">
          <cell r="I38">
            <v>131375</v>
          </cell>
        </row>
        <row r="39">
          <cell r="I39">
            <v>2636368</v>
          </cell>
        </row>
        <row r="42">
          <cell r="I42">
            <v>17970514</v>
          </cell>
        </row>
        <row r="43">
          <cell r="I43">
            <v>1115661</v>
          </cell>
        </row>
        <row r="44">
          <cell r="I44">
            <v>289621</v>
          </cell>
        </row>
        <row r="46">
          <cell r="J46">
            <v>1117069</v>
          </cell>
        </row>
        <row r="49">
          <cell r="I49">
            <v>4745556</v>
          </cell>
        </row>
        <row r="50">
          <cell r="I50">
            <v>326380</v>
          </cell>
        </row>
        <row r="51">
          <cell r="I51">
            <v>7008812</v>
          </cell>
        </row>
        <row r="53">
          <cell r="J53">
            <v>4049907</v>
          </cell>
        </row>
        <row r="56">
          <cell r="I56">
            <v>13017698</v>
          </cell>
        </row>
        <row r="57">
          <cell r="I57">
            <v>6195</v>
          </cell>
        </row>
        <row r="58">
          <cell r="I58">
            <v>19995408</v>
          </cell>
        </row>
        <row r="59">
          <cell r="I59">
            <v>1314591</v>
          </cell>
        </row>
        <row r="61">
          <cell r="J61">
            <v>23733752</v>
          </cell>
        </row>
        <row r="63">
          <cell r="J63">
            <v>40717503</v>
          </cell>
        </row>
        <row r="65">
          <cell r="J65">
            <v>504614</v>
          </cell>
        </row>
        <row r="67">
          <cell r="J67">
            <v>17101268</v>
          </cell>
        </row>
        <row r="73">
          <cell r="J73">
            <v>83448081</v>
          </cell>
        </row>
        <row r="77">
          <cell r="J77">
            <v>7031976</v>
          </cell>
        </row>
      </sheetData>
    </sheetDataSet>
  </externalBook>
</externalLink>
</file>

<file path=xl/externalLinks/externalLink206.xml><?xml version="1.0" encoding="utf-8"?>
<externalLink xmlns="http://schemas.openxmlformats.org/spreadsheetml/2006/main">
  <externalBook xmlns:r="http://schemas.openxmlformats.org/officeDocument/2006/relationships" r:id="rId1">
    <sheetNames>
      <sheetName val="Jun09loa"/>
    </sheetNames>
    <sheetDataSet>
      <sheetData sheetId="0">
        <row r="10">
          <cell r="I10">
            <v>4331195</v>
          </cell>
        </row>
      </sheetData>
    </sheetDataSet>
  </externalBook>
</externalLink>
</file>

<file path=xl/externalLinks/externalLink207.xml><?xml version="1.0" encoding="utf-8"?>
<externalLink xmlns="http://schemas.openxmlformats.org/spreadsheetml/2006/main">
  <externalBook xmlns:r="http://schemas.openxmlformats.org/officeDocument/2006/relationships" r:id="rId1">
    <sheetNames>
      <sheetName val="Mar11loa"/>
      <sheetName val="Apr11l&amp;a"/>
    </sheetNames>
    <sheetDataSet>
      <sheetData sheetId="0">
        <row r="10">
          <cell r="I10">
            <v>4260686</v>
          </cell>
        </row>
        <row r="19">
          <cell r="I19">
            <v>147209</v>
          </cell>
        </row>
        <row r="23">
          <cell r="I23">
            <v>1807</v>
          </cell>
        </row>
        <row r="25">
          <cell r="J25">
            <v>479205</v>
          </cell>
        </row>
        <row r="30">
          <cell r="I30">
            <v>103234</v>
          </cell>
        </row>
        <row r="31">
          <cell r="I31">
            <v>1791029</v>
          </cell>
        </row>
        <row r="32">
          <cell r="I32">
            <v>0</v>
          </cell>
        </row>
        <row r="33">
          <cell r="I33">
            <v>104097</v>
          </cell>
        </row>
        <row r="34">
          <cell r="I34">
            <v>134666</v>
          </cell>
        </row>
        <row r="35">
          <cell r="I35">
            <v>614448</v>
          </cell>
        </row>
        <row r="36">
          <cell r="I36">
            <v>223266</v>
          </cell>
        </row>
        <row r="37">
          <cell r="I37">
            <v>974660</v>
          </cell>
        </row>
        <row r="38">
          <cell r="I38">
            <v>740700</v>
          </cell>
        </row>
        <row r="39">
          <cell r="I39">
            <v>3702646</v>
          </cell>
        </row>
        <row r="42">
          <cell r="I42">
            <v>19225270</v>
          </cell>
        </row>
        <row r="43">
          <cell r="I43">
            <v>536873</v>
          </cell>
        </row>
        <row r="44">
          <cell r="I44">
            <v>214347</v>
          </cell>
        </row>
        <row r="46">
          <cell r="J46">
            <v>933080</v>
          </cell>
        </row>
        <row r="49">
          <cell r="I49">
            <v>4505220</v>
          </cell>
        </row>
        <row r="50">
          <cell r="I50">
            <v>279509</v>
          </cell>
        </row>
        <row r="51">
          <cell r="I51">
            <v>3826460</v>
          </cell>
        </row>
        <row r="53">
          <cell r="J53">
            <v>5909640</v>
          </cell>
        </row>
        <row r="56">
          <cell r="I56">
            <v>10518329</v>
          </cell>
        </row>
        <row r="57">
          <cell r="I57">
            <v>879</v>
          </cell>
        </row>
        <row r="58">
          <cell r="I58">
            <v>14026163</v>
          </cell>
        </row>
        <row r="59">
          <cell r="I59">
            <v>3853076</v>
          </cell>
        </row>
        <row r="61">
          <cell r="J61">
            <v>28720436</v>
          </cell>
        </row>
        <row r="63">
          <cell r="J63">
            <v>30299901</v>
          </cell>
        </row>
        <row r="65">
          <cell r="J65">
            <v>406775</v>
          </cell>
        </row>
        <row r="67">
          <cell r="J67">
            <v>17362532</v>
          </cell>
        </row>
        <row r="73">
          <cell r="J73">
            <v>90072690</v>
          </cell>
        </row>
        <row r="77">
          <cell r="J77">
            <v>6727202</v>
          </cell>
        </row>
      </sheetData>
    </sheetDataSet>
  </externalBook>
</externalLink>
</file>

<file path=xl/externalLinks/externalLink208.xml><?xml version="1.0" encoding="utf-8"?>
<externalLink xmlns="http://schemas.openxmlformats.org/spreadsheetml/2006/main">
  <externalBook xmlns:r="http://schemas.openxmlformats.org/officeDocument/2006/relationships" r:id="rId1">
    <sheetNames>
      <sheetName val="May11loa"/>
      <sheetName val="May11l&amp;a"/>
    </sheetNames>
    <sheetDataSet>
      <sheetData sheetId="0">
        <row r="10">
          <cell r="I10">
            <v>4249688</v>
          </cell>
        </row>
        <row r="19">
          <cell r="I19">
            <v>176948</v>
          </cell>
        </row>
        <row r="23">
          <cell r="I23">
            <v>1751</v>
          </cell>
        </row>
        <row r="25">
          <cell r="J25">
            <v>519494</v>
          </cell>
        </row>
        <row r="30">
          <cell r="I30">
            <v>209337</v>
          </cell>
        </row>
        <row r="31">
          <cell r="I31">
            <v>1646175</v>
          </cell>
        </row>
        <row r="32">
          <cell r="I32">
            <v>0</v>
          </cell>
        </row>
        <row r="33">
          <cell r="I33">
            <v>98701</v>
          </cell>
        </row>
        <row r="34">
          <cell r="I34">
            <v>149784</v>
          </cell>
        </row>
        <row r="35">
          <cell r="I35">
            <v>608763</v>
          </cell>
        </row>
        <row r="36">
          <cell r="I36">
            <v>223542</v>
          </cell>
        </row>
        <row r="37">
          <cell r="I37">
            <v>943118</v>
          </cell>
        </row>
        <row r="38">
          <cell r="I38">
            <v>752811</v>
          </cell>
        </row>
        <row r="39">
          <cell r="I39">
            <v>3494657</v>
          </cell>
        </row>
        <row r="42">
          <cell r="I42">
            <v>19453102</v>
          </cell>
        </row>
        <row r="43">
          <cell r="I43">
            <v>468102</v>
          </cell>
        </row>
        <row r="44">
          <cell r="I44">
            <v>204522</v>
          </cell>
        </row>
        <row r="46">
          <cell r="J46">
            <v>880788</v>
          </cell>
        </row>
        <row r="49">
          <cell r="I49">
            <v>4509746</v>
          </cell>
        </row>
        <row r="50">
          <cell r="I50">
            <v>565126</v>
          </cell>
        </row>
        <row r="51">
          <cell r="I51">
            <v>3794917</v>
          </cell>
        </row>
        <row r="53">
          <cell r="J53">
            <v>6059703</v>
          </cell>
        </row>
        <row r="56">
          <cell r="I56">
            <v>10586171</v>
          </cell>
        </row>
        <row r="57">
          <cell r="I57">
            <v>426</v>
          </cell>
        </row>
        <row r="58">
          <cell r="I58">
            <v>14817097</v>
          </cell>
        </row>
        <row r="59">
          <cell r="I59">
            <v>3857867</v>
          </cell>
        </row>
        <row r="61">
          <cell r="J61">
            <v>29160133</v>
          </cell>
        </row>
        <row r="63">
          <cell r="J63">
            <v>30801104</v>
          </cell>
        </row>
        <row r="65">
          <cell r="J65">
            <v>391066</v>
          </cell>
        </row>
        <row r="67">
          <cell r="J67">
            <v>17483759</v>
          </cell>
        </row>
        <row r="73">
          <cell r="J73">
            <v>91032359</v>
          </cell>
        </row>
        <row r="77">
          <cell r="J77">
            <v>6818733</v>
          </cell>
        </row>
      </sheetData>
    </sheetDataSet>
  </externalBook>
</externalLink>
</file>

<file path=xl/externalLinks/externalLink209.xml><?xml version="1.0" encoding="utf-8"?>
<externalLink xmlns="http://schemas.openxmlformats.org/spreadsheetml/2006/main">
  <externalBook xmlns:r="http://schemas.openxmlformats.org/officeDocument/2006/relationships" r:id="rId1">
    <sheetNames>
      <sheetName val="Jun11loa"/>
      <sheetName val="Jun11l&amp;a"/>
    </sheetNames>
    <sheetDataSet>
      <sheetData sheetId="0">
        <row r="10">
          <cell r="I10">
            <v>4256335</v>
          </cell>
        </row>
        <row r="19">
          <cell r="I19">
            <v>152223</v>
          </cell>
        </row>
        <row r="23">
          <cell r="I23">
            <v>31573</v>
          </cell>
        </row>
        <row r="25">
          <cell r="J25">
            <v>480927</v>
          </cell>
        </row>
        <row r="30">
          <cell r="I30">
            <v>197023</v>
          </cell>
        </row>
        <row r="31">
          <cell r="I31">
            <v>2015627</v>
          </cell>
        </row>
        <row r="32">
          <cell r="I32">
            <v>0</v>
          </cell>
        </row>
        <row r="33">
          <cell r="I33">
            <v>114719</v>
          </cell>
        </row>
        <row r="34">
          <cell r="I34">
            <v>152555</v>
          </cell>
        </row>
        <row r="35">
          <cell r="I35">
            <v>630036</v>
          </cell>
        </row>
        <row r="36">
          <cell r="I36">
            <v>227020</v>
          </cell>
        </row>
        <row r="37">
          <cell r="I37">
            <v>939815</v>
          </cell>
        </row>
        <row r="38">
          <cell r="I38">
            <v>1096088</v>
          </cell>
        </row>
        <row r="39">
          <cell r="I39">
            <v>3004079</v>
          </cell>
        </row>
        <row r="42">
          <cell r="I42">
            <v>19350170</v>
          </cell>
        </row>
        <row r="43">
          <cell r="I43">
            <v>468228</v>
          </cell>
        </row>
        <row r="44">
          <cell r="I44">
            <v>205274</v>
          </cell>
        </row>
        <row r="46">
          <cell r="J46">
            <v>922814</v>
          </cell>
        </row>
        <row r="49">
          <cell r="I49">
            <v>4604772</v>
          </cell>
        </row>
        <row r="50">
          <cell r="I50">
            <v>561253</v>
          </cell>
        </row>
        <row r="51">
          <cell r="I51">
            <v>3901847</v>
          </cell>
        </row>
        <row r="53">
          <cell r="J53">
            <v>6060993</v>
          </cell>
        </row>
        <row r="56">
          <cell r="I56">
            <v>10400446</v>
          </cell>
        </row>
        <row r="57">
          <cell r="I57">
            <v>33</v>
          </cell>
        </row>
        <row r="58">
          <cell r="I58">
            <v>15530874</v>
          </cell>
        </row>
        <row r="59">
          <cell r="I59">
            <v>3895935</v>
          </cell>
        </row>
        <row r="61">
          <cell r="J61">
            <v>26150894</v>
          </cell>
        </row>
        <row r="63">
          <cell r="J63">
            <v>30916010</v>
          </cell>
        </row>
        <row r="65">
          <cell r="J65">
            <v>421353</v>
          </cell>
        </row>
        <row r="67">
          <cell r="J67">
            <v>16914513</v>
          </cell>
        </row>
        <row r="73">
          <cell r="J73">
            <v>92923851</v>
          </cell>
        </row>
        <row r="77">
          <cell r="J77">
            <v>6845654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ct11loa"/>
    </sheetNames>
    <sheetDataSet>
      <sheetData sheetId="0">
        <row r="10">
          <cell r="I10">
            <v>3970481</v>
          </cell>
        </row>
        <row r="19">
          <cell r="I19">
            <v>737621</v>
          </cell>
        </row>
        <row r="23">
          <cell r="I23">
            <v>29235</v>
          </cell>
        </row>
        <row r="25">
          <cell r="J25">
            <v>600304</v>
          </cell>
        </row>
        <row r="30">
          <cell r="I30">
            <v>189261</v>
          </cell>
        </row>
        <row r="31">
          <cell r="I31">
            <v>2590590</v>
          </cell>
        </row>
        <row r="32">
          <cell r="I32">
            <v>1</v>
          </cell>
        </row>
        <row r="33">
          <cell r="I33">
            <v>110537</v>
          </cell>
        </row>
        <row r="34">
          <cell r="I34">
            <v>152185</v>
          </cell>
        </row>
        <row r="35">
          <cell r="I35">
            <v>653557</v>
          </cell>
        </row>
        <row r="36">
          <cell r="I36">
            <v>217661</v>
          </cell>
        </row>
        <row r="37">
          <cell r="I37">
            <v>1027707</v>
          </cell>
        </row>
        <row r="38">
          <cell r="I38">
            <v>372819</v>
          </cell>
        </row>
        <row r="39">
          <cell r="I39">
            <v>2924948</v>
          </cell>
        </row>
        <row r="42">
          <cell r="I42">
            <v>19068598</v>
          </cell>
        </row>
        <row r="43">
          <cell r="I43">
            <v>617404</v>
          </cell>
        </row>
        <row r="44">
          <cell r="I44">
            <v>173159</v>
          </cell>
        </row>
        <row r="46">
          <cell r="J46">
            <v>1126457</v>
          </cell>
        </row>
        <row r="49">
          <cell r="I49">
            <v>4332040</v>
          </cell>
        </row>
        <row r="50">
          <cell r="I50">
            <v>539621</v>
          </cell>
        </row>
        <row r="51">
          <cell r="I51">
            <v>4148351</v>
          </cell>
        </row>
        <row r="53">
          <cell r="J53">
            <v>5735935</v>
          </cell>
        </row>
        <row r="56">
          <cell r="I56">
            <v>9974661</v>
          </cell>
        </row>
        <row r="57">
          <cell r="I57">
            <v>33</v>
          </cell>
        </row>
        <row r="58">
          <cell r="I58">
            <v>14963134</v>
          </cell>
        </row>
        <row r="59">
          <cell r="I59">
            <v>880331</v>
          </cell>
        </row>
        <row r="61">
          <cell r="J61">
            <v>27154475</v>
          </cell>
        </row>
        <row r="63">
          <cell r="J63">
            <v>31604894</v>
          </cell>
        </row>
        <row r="65">
          <cell r="J65">
            <v>513272</v>
          </cell>
        </row>
        <row r="67">
          <cell r="J67">
            <v>16012513</v>
          </cell>
        </row>
        <row r="73">
          <cell r="J73">
            <v>98565948</v>
          </cell>
        </row>
        <row r="77">
          <cell r="J77">
            <v>7453032</v>
          </cell>
        </row>
      </sheetData>
    </sheetDataSet>
  </externalBook>
</externalLink>
</file>

<file path=xl/externalLinks/externalLink210.xml><?xml version="1.0" encoding="utf-8"?>
<externalLink xmlns="http://schemas.openxmlformats.org/spreadsheetml/2006/main">
  <externalBook xmlns:r="http://schemas.openxmlformats.org/officeDocument/2006/relationships" r:id="rId1">
    <sheetNames>
      <sheetName val="Jul11loa"/>
      <sheetName val="Jul11l&amp;a"/>
    </sheetNames>
    <sheetDataSet>
      <sheetData sheetId="0">
        <row r="10">
          <cell r="I10">
            <v>4946508</v>
          </cell>
        </row>
        <row r="19">
          <cell r="I19">
            <v>146057</v>
          </cell>
        </row>
        <row r="23">
          <cell r="I23">
            <v>30970</v>
          </cell>
        </row>
        <row r="25">
          <cell r="J25">
            <v>514461</v>
          </cell>
        </row>
        <row r="30">
          <cell r="I30">
            <v>186111</v>
          </cell>
        </row>
        <row r="31">
          <cell r="I31">
            <v>1799354</v>
          </cell>
        </row>
        <row r="32">
          <cell r="I32">
            <v>0</v>
          </cell>
        </row>
        <row r="33">
          <cell r="I33">
            <v>112370</v>
          </cell>
        </row>
        <row r="34">
          <cell r="I34">
            <v>153879</v>
          </cell>
        </row>
        <row r="35">
          <cell r="I35">
            <v>638462</v>
          </cell>
        </row>
        <row r="36">
          <cell r="I36">
            <v>222816</v>
          </cell>
        </row>
        <row r="37">
          <cell r="I37">
            <v>906065</v>
          </cell>
        </row>
        <row r="38">
          <cell r="I38">
            <v>305408</v>
          </cell>
        </row>
        <row r="39">
          <cell r="I39">
            <v>2863419</v>
          </cell>
        </row>
        <row r="42">
          <cell r="I42">
            <v>19705600</v>
          </cell>
        </row>
        <row r="43">
          <cell r="I43">
            <v>425495</v>
          </cell>
        </row>
        <row r="44">
          <cell r="I44">
            <v>207495</v>
          </cell>
        </row>
        <row r="46">
          <cell r="J46">
            <v>1135903</v>
          </cell>
        </row>
        <row r="49">
          <cell r="I49">
            <v>4490248</v>
          </cell>
        </row>
        <row r="50">
          <cell r="I50">
            <v>554556</v>
          </cell>
        </row>
        <row r="51">
          <cell r="I51">
            <v>4041046</v>
          </cell>
        </row>
        <row r="53">
          <cell r="J53">
            <v>5456972</v>
          </cell>
        </row>
        <row r="56">
          <cell r="I56">
            <v>10542963</v>
          </cell>
        </row>
        <row r="57">
          <cell r="I57">
            <v>33</v>
          </cell>
        </row>
        <row r="58">
          <cell r="I58">
            <v>15364382</v>
          </cell>
        </row>
        <row r="59">
          <cell r="I59">
            <v>3835400</v>
          </cell>
        </row>
        <row r="61">
          <cell r="J61">
            <v>27319742</v>
          </cell>
        </row>
        <row r="63">
          <cell r="J63">
            <v>30965877</v>
          </cell>
        </row>
        <row r="65">
          <cell r="J65">
            <v>413566</v>
          </cell>
        </row>
        <row r="67">
          <cell r="J67">
            <v>16552208</v>
          </cell>
        </row>
        <row r="73">
          <cell r="J73">
            <v>93992355</v>
          </cell>
        </row>
        <row r="77">
          <cell r="J77">
            <v>7458909</v>
          </cell>
        </row>
      </sheetData>
    </sheetDataSet>
  </externalBook>
</externalLink>
</file>

<file path=xl/externalLinks/externalLink211.xml><?xml version="1.0" encoding="utf-8"?>
<externalLink xmlns="http://schemas.openxmlformats.org/spreadsheetml/2006/main">
  <externalBook xmlns:r="http://schemas.openxmlformats.org/officeDocument/2006/relationships" r:id="rId1">
    <sheetNames>
      <sheetName val="Aug12loa"/>
      <sheetName val="Aug12l&amp;a"/>
    </sheetNames>
    <sheetDataSet>
      <sheetData sheetId="0">
        <row r="10">
          <cell r="I10">
            <v>5249098</v>
          </cell>
        </row>
        <row r="19">
          <cell r="I19">
            <v>892720</v>
          </cell>
        </row>
        <row r="23">
          <cell r="I23">
            <v>23673</v>
          </cell>
        </row>
        <row r="25">
          <cell r="J25">
            <v>535566</v>
          </cell>
        </row>
        <row r="30">
          <cell r="I30">
            <v>491856</v>
          </cell>
        </row>
        <row r="31">
          <cell r="I31">
            <v>3696015</v>
          </cell>
        </row>
        <row r="32">
          <cell r="I32">
            <v>0</v>
          </cell>
        </row>
        <row r="33">
          <cell r="I33">
            <v>175864</v>
          </cell>
        </row>
        <row r="34">
          <cell r="I34">
            <v>215175</v>
          </cell>
        </row>
        <row r="35">
          <cell r="I35">
            <v>709151</v>
          </cell>
        </row>
        <row r="36">
          <cell r="I36">
            <v>222753</v>
          </cell>
        </row>
        <row r="37">
          <cell r="I37">
            <v>907594</v>
          </cell>
        </row>
        <row r="38">
          <cell r="I38">
            <v>284744</v>
          </cell>
        </row>
        <row r="39">
          <cell r="I39">
            <v>3296176</v>
          </cell>
        </row>
        <row r="42">
          <cell r="I42">
            <v>19245526</v>
          </cell>
        </row>
        <row r="43">
          <cell r="I43">
            <v>1088458</v>
          </cell>
        </row>
        <row r="44">
          <cell r="I44">
            <v>139231</v>
          </cell>
        </row>
        <row r="46">
          <cell r="J46">
            <v>960193</v>
          </cell>
        </row>
        <row r="49">
          <cell r="I49">
            <v>4758233</v>
          </cell>
        </row>
        <row r="50">
          <cell r="I50">
            <v>476563</v>
          </cell>
        </row>
        <row r="51">
          <cell r="I51">
            <v>6457427</v>
          </cell>
        </row>
        <row r="53">
          <cell r="J53">
            <v>7114735</v>
          </cell>
        </row>
        <row r="56">
          <cell r="I56">
            <v>9624911</v>
          </cell>
        </row>
        <row r="57">
          <cell r="I57">
            <v>61</v>
          </cell>
        </row>
        <row r="58">
          <cell r="I58">
            <v>16057222</v>
          </cell>
        </row>
        <row r="59">
          <cell r="I59">
            <v>418946</v>
          </cell>
        </row>
        <row r="61">
          <cell r="J61">
            <v>39019026</v>
          </cell>
        </row>
        <row r="63">
          <cell r="J63">
            <v>25661966</v>
          </cell>
        </row>
        <row r="65">
          <cell r="J65">
            <v>734071</v>
          </cell>
        </row>
        <row r="67">
          <cell r="J67">
            <v>18603740</v>
          </cell>
        </row>
        <row r="73">
          <cell r="J73">
            <v>118820966</v>
          </cell>
        </row>
        <row r="77">
          <cell r="J77">
            <v>9039258</v>
          </cell>
        </row>
      </sheetData>
    </sheetDataSet>
  </externalBook>
</externalLink>
</file>

<file path=xl/externalLinks/externalLink212.xml><?xml version="1.0" encoding="utf-8"?>
<externalLink xmlns="http://schemas.openxmlformats.org/spreadsheetml/2006/main">
  <externalBook xmlns:r="http://schemas.openxmlformats.org/officeDocument/2006/relationships" r:id="rId1">
    <sheetNames>
      <sheetName val="Jul09loa"/>
    </sheetNames>
    <sheetDataSet>
      <sheetData sheetId="0">
        <row r="10">
          <cell r="I10">
            <v>3923267</v>
          </cell>
        </row>
      </sheetData>
    </sheetDataSet>
  </externalBook>
</externalLink>
</file>

<file path=xl/externalLinks/externalLink213.xml><?xml version="1.0" encoding="utf-8"?>
<externalLink xmlns="http://schemas.openxmlformats.org/spreadsheetml/2006/main">
  <externalBook xmlns:r="http://schemas.openxmlformats.org/officeDocument/2006/relationships" r:id="rId1">
    <sheetNames>
      <sheetName val="Nov05l&amp;a"/>
    </sheetNames>
    <sheetDataSet>
      <sheetData sheetId="0">
        <row r="34">
          <cell r="H34">
            <v>116375</v>
          </cell>
        </row>
        <row r="35">
          <cell r="H35">
            <v>92571</v>
          </cell>
        </row>
        <row r="36">
          <cell r="H36">
            <v>199594</v>
          </cell>
        </row>
        <row r="37">
          <cell r="H37">
            <v>453306</v>
          </cell>
        </row>
        <row r="38">
          <cell r="H38">
            <v>137713</v>
          </cell>
        </row>
        <row r="39">
          <cell r="H39">
            <v>1291031</v>
          </cell>
        </row>
        <row r="42">
          <cell r="H42">
            <v>5022636</v>
          </cell>
        </row>
        <row r="43">
          <cell r="H43">
            <v>134544</v>
          </cell>
        </row>
        <row r="44">
          <cell r="H44">
            <v>230745</v>
          </cell>
        </row>
        <row r="46">
          <cell r="I46">
            <v>532461</v>
          </cell>
        </row>
        <row r="49">
          <cell r="H49">
            <v>1341042</v>
          </cell>
        </row>
        <row r="50">
          <cell r="H50">
            <v>35345</v>
          </cell>
        </row>
        <row r="51">
          <cell r="H51">
            <v>3846377</v>
          </cell>
        </row>
        <row r="53">
          <cell r="I53">
            <v>835841</v>
          </cell>
        </row>
        <row r="56">
          <cell r="H56">
            <v>8452707</v>
          </cell>
        </row>
        <row r="57">
          <cell r="H57">
            <v>4042</v>
          </cell>
        </row>
        <row r="58">
          <cell r="H58">
            <v>14141794</v>
          </cell>
        </row>
        <row r="59">
          <cell r="H59">
            <v>11441121</v>
          </cell>
        </row>
        <row r="61">
          <cell r="I61">
            <v>8860966</v>
          </cell>
        </row>
        <row r="63">
          <cell r="I63">
            <v>23034752</v>
          </cell>
        </row>
        <row r="65">
          <cell r="I65">
            <v>286882</v>
          </cell>
        </row>
        <row r="67">
          <cell r="I67">
            <v>7821983</v>
          </cell>
        </row>
        <row r="73">
          <cell r="I73">
            <v>40185621</v>
          </cell>
        </row>
        <row r="77">
          <cell r="I77">
            <v>17911</v>
          </cell>
        </row>
      </sheetData>
    </sheetDataSet>
  </externalBook>
</externalLink>
</file>

<file path=xl/externalLinks/externalLink214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816320</v>
          </cell>
        </row>
        <row r="5">
          <cell r="L5">
            <v>4</v>
          </cell>
        </row>
        <row r="6">
          <cell r="L6">
            <v>47562</v>
          </cell>
        </row>
        <row r="7">
          <cell r="L7">
            <v>13851406</v>
          </cell>
        </row>
        <row r="8">
          <cell r="L8">
            <v>16960379</v>
          </cell>
        </row>
        <row r="9">
          <cell r="L9">
            <v>4564068</v>
          </cell>
        </row>
        <row r="10">
          <cell r="L10">
            <v>154617</v>
          </cell>
        </row>
        <row r="11">
          <cell r="L11">
            <v>3068704</v>
          </cell>
        </row>
        <row r="12">
          <cell r="L12">
            <v>3</v>
          </cell>
        </row>
        <row r="13">
          <cell r="L13">
            <v>0</v>
          </cell>
        </row>
        <row r="14">
          <cell r="L14">
            <v>69783</v>
          </cell>
        </row>
        <row r="15">
          <cell r="L15">
            <v>6779694</v>
          </cell>
        </row>
        <row r="16">
          <cell r="L16">
            <v>2976</v>
          </cell>
        </row>
        <row r="17">
          <cell r="L17">
            <v>887914</v>
          </cell>
        </row>
        <row r="18">
          <cell r="L18">
            <v>566686</v>
          </cell>
        </row>
        <row r="19">
          <cell r="L19">
            <v>1531334</v>
          </cell>
        </row>
        <row r="20">
          <cell r="L20">
            <v>1988890</v>
          </cell>
        </row>
        <row r="21">
          <cell r="L21">
            <v>13063366</v>
          </cell>
        </row>
        <row r="22">
          <cell r="L22">
            <v>468077</v>
          </cell>
        </row>
        <row r="23">
          <cell r="L23">
            <v>3506119</v>
          </cell>
        </row>
        <row r="24">
          <cell r="L24">
            <v>965790</v>
          </cell>
        </row>
        <row r="25">
          <cell r="L25">
            <v>2324500</v>
          </cell>
        </row>
        <row r="26">
          <cell r="L26">
            <v>502078</v>
          </cell>
        </row>
        <row r="27">
          <cell r="L27">
            <v>11792427</v>
          </cell>
        </row>
        <row r="28">
          <cell r="L28">
            <v>62856</v>
          </cell>
        </row>
        <row r="29">
          <cell r="L29">
            <v>2009</v>
          </cell>
        </row>
        <row r="30">
          <cell r="L30">
            <v>1036269</v>
          </cell>
        </row>
        <row r="31">
          <cell r="L31">
            <v>3603886</v>
          </cell>
        </row>
        <row r="32">
          <cell r="L32">
            <v>44788666</v>
          </cell>
        </row>
        <row r="33">
          <cell r="L33">
            <v>1322116</v>
          </cell>
        </row>
        <row r="34">
          <cell r="L34">
            <v>8973521</v>
          </cell>
        </row>
        <row r="35">
          <cell r="L35">
            <v>397827</v>
          </cell>
        </row>
        <row r="36">
          <cell r="L36">
            <v>16002485</v>
          </cell>
        </row>
        <row r="37">
          <cell r="L37">
            <v>48023117</v>
          </cell>
        </row>
        <row r="38">
          <cell r="L38">
            <v>84173244</v>
          </cell>
        </row>
        <row r="39">
          <cell r="L39">
            <v>2438890</v>
          </cell>
        </row>
        <row r="40">
          <cell r="L40">
            <v>3499040</v>
          </cell>
        </row>
        <row r="41">
          <cell r="L41">
            <v>41272919</v>
          </cell>
        </row>
        <row r="42">
          <cell r="L42">
            <v>11995382</v>
          </cell>
        </row>
        <row r="43">
          <cell r="L43">
            <v>9998164</v>
          </cell>
        </row>
        <row r="44">
          <cell r="L44">
            <v>453578586</v>
          </cell>
        </row>
        <row r="45">
          <cell r="L45">
            <v>1304394</v>
          </cell>
        </row>
        <row r="46">
          <cell r="L46">
            <v>69265742</v>
          </cell>
        </row>
      </sheetData>
      <sheetData sheetId="6">
        <row r="23">
          <cell r="C23">
            <v>78242151</v>
          </cell>
        </row>
      </sheetData>
    </sheetDataSet>
  </externalBook>
</externalLink>
</file>

<file path=xl/externalLinks/externalLink215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980275</v>
          </cell>
        </row>
        <row r="5">
          <cell r="L5">
            <v>6</v>
          </cell>
        </row>
        <row r="6">
          <cell r="L6">
            <v>38333</v>
          </cell>
        </row>
        <row r="7">
          <cell r="L7">
            <v>13483679</v>
          </cell>
        </row>
        <row r="8">
          <cell r="L8">
            <v>17423428</v>
          </cell>
        </row>
        <row r="9">
          <cell r="L9">
            <v>4564062</v>
          </cell>
        </row>
        <row r="10">
          <cell r="L10">
            <v>176273</v>
          </cell>
        </row>
        <row r="11">
          <cell r="L11">
            <v>2988575</v>
          </cell>
        </row>
        <row r="12">
          <cell r="L12">
            <v>7</v>
          </cell>
        </row>
        <row r="13">
          <cell r="L13">
            <v>0</v>
          </cell>
        </row>
        <row r="14">
          <cell r="L14">
            <v>67034</v>
          </cell>
        </row>
        <row r="15">
          <cell r="L15">
            <v>6798988</v>
          </cell>
        </row>
        <row r="16">
          <cell r="L16">
            <v>2729</v>
          </cell>
        </row>
        <row r="17">
          <cell r="L17">
            <v>876920</v>
          </cell>
        </row>
        <row r="18">
          <cell r="L18">
            <v>550404</v>
          </cell>
        </row>
        <row r="19">
          <cell r="L19">
            <v>1422451</v>
          </cell>
        </row>
        <row r="20">
          <cell r="L20">
            <v>1926731</v>
          </cell>
        </row>
        <row r="21">
          <cell r="L21">
            <v>12699432</v>
          </cell>
        </row>
        <row r="22">
          <cell r="L22">
            <v>455651</v>
          </cell>
        </row>
        <row r="23">
          <cell r="L23">
            <v>3412093</v>
          </cell>
        </row>
        <row r="24">
          <cell r="L24">
            <v>918536</v>
          </cell>
        </row>
        <row r="25">
          <cell r="L25">
            <v>2275342</v>
          </cell>
        </row>
        <row r="26">
          <cell r="L26">
            <v>519396</v>
          </cell>
        </row>
        <row r="27">
          <cell r="L27">
            <v>11291554</v>
          </cell>
        </row>
        <row r="28">
          <cell r="L28">
            <v>53669</v>
          </cell>
        </row>
        <row r="29">
          <cell r="L29">
            <v>1509</v>
          </cell>
        </row>
        <row r="30">
          <cell r="L30">
            <v>1349891</v>
          </cell>
        </row>
        <row r="31">
          <cell r="L31">
            <v>3540079</v>
          </cell>
        </row>
        <row r="32">
          <cell r="L32">
            <v>43681412</v>
          </cell>
        </row>
        <row r="33">
          <cell r="L33">
            <v>1313457</v>
          </cell>
        </row>
        <row r="34">
          <cell r="L34">
            <v>8947358</v>
          </cell>
        </row>
        <row r="35">
          <cell r="L35">
            <v>398449</v>
          </cell>
        </row>
        <row r="36">
          <cell r="L36">
            <v>15537575</v>
          </cell>
        </row>
        <row r="37">
          <cell r="L37">
            <v>46904750</v>
          </cell>
        </row>
        <row r="38">
          <cell r="L38">
            <v>85153596</v>
          </cell>
        </row>
        <row r="39">
          <cell r="L39">
            <v>2410108</v>
          </cell>
        </row>
        <row r="40">
          <cell r="L40">
            <v>3466096</v>
          </cell>
        </row>
        <row r="41">
          <cell r="L41">
            <v>42172624</v>
          </cell>
        </row>
        <row r="42">
          <cell r="L42">
            <v>11840352</v>
          </cell>
        </row>
        <row r="43">
          <cell r="L43">
            <v>9788590</v>
          </cell>
        </row>
        <row r="44">
          <cell r="L44">
            <v>458014163</v>
          </cell>
        </row>
        <row r="45">
          <cell r="L45">
            <v>1385102</v>
          </cell>
        </row>
        <row r="46">
          <cell r="L46">
            <v>67870279</v>
          </cell>
        </row>
      </sheetData>
      <sheetData sheetId="6">
        <row r="23">
          <cell r="C23">
            <v>79296406</v>
          </cell>
        </row>
      </sheetData>
    </sheetDataSet>
  </externalBook>
</externalLink>
</file>

<file path=xl/externalLinks/externalLink216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937249</v>
          </cell>
        </row>
        <row r="5">
          <cell r="L5">
            <v>8</v>
          </cell>
        </row>
        <row r="6">
          <cell r="L6">
            <v>29816</v>
          </cell>
        </row>
        <row r="7">
          <cell r="L7">
            <v>13216733</v>
          </cell>
        </row>
        <row r="8">
          <cell r="L8">
            <v>18608383</v>
          </cell>
        </row>
        <row r="9">
          <cell r="L9">
            <v>4446875</v>
          </cell>
        </row>
        <row r="10">
          <cell r="L10">
            <v>146518</v>
          </cell>
        </row>
        <row r="11">
          <cell r="L11">
            <v>2972299</v>
          </cell>
        </row>
        <row r="12">
          <cell r="L12">
            <v>11</v>
          </cell>
        </row>
        <row r="13">
          <cell r="L13">
            <v>0</v>
          </cell>
        </row>
        <row r="14">
          <cell r="L14">
            <v>73150</v>
          </cell>
        </row>
        <row r="15">
          <cell r="L15">
            <v>6626680</v>
          </cell>
        </row>
        <row r="16">
          <cell r="L16">
            <v>2062</v>
          </cell>
        </row>
        <row r="17">
          <cell r="L17">
            <v>883697</v>
          </cell>
        </row>
        <row r="18">
          <cell r="L18">
            <v>542514</v>
          </cell>
        </row>
        <row r="19">
          <cell r="L19">
            <v>1493476</v>
          </cell>
        </row>
        <row r="20">
          <cell r="L20">
            <v>1951878</v>
          </cell>
        </row>
        <row r="21">
          <cell r="L21">
            <v>13896359</v>
          </cell>
        </row>
        <row r="22">
          <cell r="L22">
            <v>482009</v>
          </cell>
        </row>
        <row r="23">
          <cell r="L23">
            <v>3393600</v>
          </cell>
        </row>
        <row r="24">
          <cell r="L24">
            <v>952787</v>
          </cell>
        </row>
        <row r="25">
          <cell r="L25">
            <v>2265246</v>
          </cell>
        </row>
        <row r="26">
          <cell r="L26">
            <v>609379</v>
          </cell>
        </row>
        <row r="27">
          <cell r="L27">
            <v>12123670</v>
          </cell>
        </row>
        <row r="28">
          <cell r="L28">
            <v>48734</v>
          </cell>
        </row>
        <row r="29">
          <cell r="L29">
            <v>1262</v>
          </cell>
        </row>
        <row r="30">
          <cell r="L30">
            <v>1286914</v>
          </cell>
        </row>
        <row r="31">
          <cell r="L31">
            <v>3752780</v>
          </cell>
        </row>
        <row r="32">
          <cell r="L32">
            <v>43093996</v>
          </cell>
        </row>
        <row r="33">
          <cell r="L33">
            <v>1315022</v>
          </cell>
        </row>
        <row r="34">
          <cell r="L34">
            <v>9097356</v>
          </cell>
        </row>
        <row r="35">
          <cell r="L35">
            <v>421403</v>
          </cell>
        </row>
        <row r="36">
          <cell r="L36">
            <v>15508228</v>
          </cell>
        </row>
        <row r="37">
          <cell r="L37">
            <v>47242761</v>
          </cell>
        </row>
        <row r="38">
          <cell r="L38">
            <v>84805431</v>
          </cell>
        </row>
        <row r="39">
          <cell r="L39">
            <v>2420149</v>
          </cell>
        </row>
        <row r="40">
          <cell r="L40">
            <v>3504110</v>
          </cell>
        </row>
        <row r="41">
          <cell r="L41">
            <v>43625848</v>
          </cell>
        </row>
        <row r="42">
          <cell r="L42">
            <v>12021746</v>
          </cell>
        </row>
        <row r="43">
          <cell r="L43">
            <v>8704957</v>
          </cell>
        </row>
        <row r="44">
          <cell r="L44">
            <v>462969649</v>
          </cell>
        </row>
        <row r="45">
          <cell r="L45">
            <v>1367849</v>
          </cell>
        </row>
        <row r="46">
          <cell r="L46">
            <v>68279306</v>
          </cell>
        </row>
      </sheetData>
      <sheetData sheetId="6">
        <row r="23">
          <cell r="C23">
            <v>79035550</v>
          </cell>
        </row>
      </sheetData>
    </sheetDataSet>
  </externalBook>
</externalLink>
</file>

<file path=xl/externalLinks/externalLink217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994183</v>
          </cell>
        </row>
        <row r="5">
          <cell r="L5">
            <v>10</v>
          </cell>
        </row>
        <row r="6">
          <cell r="L6">
            <v>30230</v>
          </cell>
        </row>
        <row r="7">
          <cell r="L7">
            <v>14476796</v>
          </cell>
        </row>
        <row r="8">
          <cell r="L8">
            <v>18781080</v>
          </cell>
        </row>
        <row r="9">
          <cell r="L9">
            <v>4446875</v>
          </cell>
        </row>
        <row r="10">
          <cell r="L10">
            <v>167703</v>
          </cell>
        </row>
        <row r="11">
          <cell r="L11">
            <v>2970226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60592</v>
          </cell>
        </row>
        <row r="15">
          <cell r="L15">
            <v>6627168</v>
          </cell>
        </row>
        <row r="16">
          <cell r="L16">
            <v>1697</v>
          </cell>
        </row>
        <row r="17">
          <cell r="L17">
            <v>882696</v>
          </cell>
        </row>
        <row r="18">
          <cell r="L18">
            <v>542541</v>
          </cell>
        </row>
        <row r="19">
          <cell r="L19">
            <v>1518805</v>
          </cell>
        </row>
        <row r="20">
          <cell r="L20">
            <v>1980150</v>
          </cell>
        </row>
        <row r="21">
          <cell r="L21">
            <v>13649925</v>
          </cell>
        </row>
        <row r="22">
          <cell r="L22">
            <v>466694</v>
          </cell>
        </row>
        <row r="23">
          <cell r="L23">
            <v>2775367</v>
          </cell>
        </row>
        <row r="24">
          <cell r="L24">
            <v>941823</v>
          </cell>
        </row>
        <row r="25">
          <cell r="L25">
            <v>1320831</v>
          </cell>
        </row>
        <row r="26">
          <cell r="L26">
            <v>506435</v>
          </cell>
        </row>
        <row r="27">
          <cell r="L27">
            <v>12855022</v>
          </cell>
        </row>
        <row r="28">
          <cell r="L28">
            <v>496839</v>
          </cell>
        </row>
        <row r="29">
          <cell r="L29">
            <v>1014</v>
          </cell>
        </row>
        <row r="30">
          <cell r="L30">
            <v>1025759</v>
          </cell>
        </row>
        <row r="31">
          <cell r="L31">
            <v>3858204</v>
          </cell>
        </row>
        <row r="32">
          <cell r="L32">
            <v>43522314</v>
          </cell>
        </row>
        <row r="33">
          <cell r="L33">
            <v>1293822</v>
          </cell>
        </row>
        <row r="34">
          <cell r="L34">
            <v>8962703</v>
          </cell>
        </row>
        <row r="35">
          <cell r="L35">
            <v>406251</v>
          </cell>
        </row>
        <row r="36">
          <cell r="L36">
            <v>15784300</v>
          </cell>
        </row>
        <row r="37">
          <cell r="L37">
            <v>47938294</v>
          </cell>
        </row>
        <row r="38">
          <cell r="L38">
            <v>86780030</v>
          </cell>
        </row>
        <row r="39">
          <cell r="L39">
            <v>2425208</v>
          </cell>
        </row>
        <row r="40">
          <cell r="L40">
            <v>3438993</v>
          </cell>
        </row>
        <row r="41">
          <cell r="L41">
            <v>43520898</v>
          </cell>
        </row>
        <row r="42">
          <cell r="L42">
            <v>12232600</v>
          </cell>
        </row>
        <row r="43">
          <cell r="L43">
            <v>8945429</v>
          </cell>
        </row>
        <row r="44">
          <cell r="L44">
            <v>469554798</v>
          </cell>
        </row>
        <row r="45">
          <cell r="L45">
            <v>1327263</v>
          </cell>
        </row>
        <row r="46">
          <cell r="L46">
            <v>70891727</v>
          </cell>
        </row>
      </sheetData>
      <sheetData sheetId="6">
        <row r="23">
          <cell r="C23">
            <v>83967060</v>
          </cell>
        </row>
      </sheetData>
    </sheetDataSet>
  </externalBook>
</externalLink>
</file>

<file path=xl/externalLinks/externalLink218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795038</v>
          </cell>
        </row>
        <row r="5">
          <cell r="L5">
            <v>13</v>
          </cell>
        </row>
        <row r="6">
          <cell r="L6">
            <v>31784</v>
          </cell>
        </row>
        <row r="7">
          <cell r="L7">
            <v>9511212</v>
          </cell>
        </row>
        <row r="8">
          <cell r="L8">
            <v>19378290</v>
          </cell>
        </row>
        <row r="9">
          <cell r="L9">
            <v>4446875</v>
          </cell>
        </row>
        <row r="10">
          <cell r="L10">
            <v>163684</v>
          </cell>
        </row>
        <row r="11">
          <cell r="L11">
            <v>2891555</v>
          </cell>
        </row>
        <row r="12">
          <cell r="L12">
            <v>3</v>
          </cell>
        </row>
        <row r="13">
          <cell r="L13">
            <v>0</v>
          </cell>
        </row>
        <row r="14">
          <cell r="L14">
            <v>50540</v>
          </cell>
        </row>
        <row r="15">
          <cell r="L15">
            <v>6612890</v>
          </cell>
        </row>
        <row r="16">
          <cell r="L16">
            <v>1333</v>
          </cell>
        </row>
        <row r="17">
          <cell r="L17">
            <v>879535</v>
          </cell>
        </row>
        <row r="18">
          <cell r="L18">
            <v>556876</v>
          </cell>
        </row>
        <row r="19">
          <cell r="L19">
            <v>1619215</v>
          </cell>
        </row>
        <row r="20">
          <cell r="L20">
            <v>2086035</v>
          </cell>
        </row>
        <row r="21">
          <cell r="L21">
            <v>13243839</v>
          </cell>
        </row>
        <row r="22">
          <cell r="L22">
            <v>461038</v>
          </cell>
        </row>
        <row r="23">
          <cell r="L23">
            <v>2772792</v>
          </cell>
        </row>
        <row r="24">
          <cell r="L24">
            <v>893313</v>
          </cell>
        </row>
        <row r="25">
          <cell r="L25">
            <v>1345398</v>
          </cell>
        </row>
        <row r="26">
          <cell r="L26">
            <v>511797</v>
          </cell>
        </row>
        <row r="27">
          <cell r="L27">
            <v>12494596</v>
          </cell>
        </row>
        <row r="28">
          <cell r="L28">
            <v>582491</v>
          </cell>
        </row>
        <row r="29">
          <cell r="L29">
            <v>769</v>
          </cell>
        </row>
        <row r="30">
          <cell r="L30">
            <v>1019101</v>
          </cell>
        </row>
        <row r="31">
          <cell r="L31">
            <v>3743646</v>
          </cell>
        </row>
        <row r="32">
          <cell r="L32">
            <v>43431705</v>
          </cell>
        </row>
        <row r="33">
          <cell r="L33">
            <v>1249857</v>
          </cell>
        </row>
        <row r="34">
          <cell r="L34">
            <v>8984515</v>
          </cell>
        </row>
        <row r="35">
          <cell r="L35">
            <v>405843</v>
          </cell>
        </row>
        <row r="36">
          <cell r="L36">
            <v>15567943</v>
          </cell>
        </row>
        <row r="37">
          <cell r="L37">
            <v>48073310</v>
          </cell>
        </row>
        <row r="38">
          <cell r="L38">
            <v>85444198</v>
          </cell>
        </row>
        <row r="39">
          <cell r="L39">
            <v>2109851</v>
          </cell>
        </row>
        <row r="40">
          <cell r="L40">
            <v>3473123</v>
          </cell>
        </row>
        <row r="41">
          <cell r="L41">
            <v>44720369</v>
          </cell>
        </row>
        <row r="42">
          <cell r="L42">
            <v>12410936</v>
          </cell>
        </row>
        <row r="43">
          <cell r="L43">
            <v>9180033</v>
          </cell>
        </row>
        <row r="44">
          <cell r="L44">
            <v>470570799</v>
          </cell>
        </row>
        <row r="45">
          <cell r="L45">
            <v>1429870</v>
          </cell>
        </row>
        <row r="46">
          <cell r="L46">
            <v>69594229</v>
          </cell>
        </row>
      </sheetData>
      <sheetData sheetId="6">
        <row r="23">
          <cell r="C23">
            <v>81005172</v>
          </cell>
        </row>
      </sheetData>
    </sheetDataSet>
  </externalBook>
</externalLink>
</file>

<file path=xl/externalLinks/externalLink219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750783</v>
          </cell>
        </row>
        <row r="5">
          <cell r="L5">
            <v>15</v>
          </cell>
        </row>
        <row r="6">
          <cell r="L6">
            <v>21307</v>
          </cell>
        </row>
        <row r="7">
          <cell r="L7">
            <v>13514189</v>
          </cell>
        </row>
        <row r="8">
          <cell r="L8">
            <v>21489073</v>
          </cell>
        </row>
        <row r="9">
          <cell r="L9">
            <v>4329690</v>
          </cell>
        </row>
        <row r="10">
          <cell r="L10">
            <v>173994</v>
          </cell>
        </row>
        <row r="11">
          <cell r="L11">
            <v>2801016</v>
          </cell>
        </row>
        <row r="12">
          <cell r="L12">
            <v>10</v>
          </cell>
        </row>
        <row r="13">
          <cell r="L13">
            <v>0</v>
          </cell>
        </row>
        <row r="14">
          <cell r="L14">
            <v>72726</v>
          </cell>
        </row>
        <row r="15">
          <cell r="L15">
            <v>6439481</v>
          </cell>
        </row>
        <row r="16">
          <cell r="L16">
            <v>1270</v>
          </cell>
        </row>
        <row r="17">
          <cell r="L17">
            <v>878111</v>
          </cell>
        </row>
        <row r="18">
          <cell r="L18">
            <v>610455</v>
          </cell>
        </row>
        <row r="19">
          <cell r="L19">
            <v>1619092</v>
          </cell>
        </row>
        <row r="20">
          <cell r="L20">
            <v>2103655</v>
          </cell>
        </row>
        <row r="21">
          <cell r="L21">
            <v>13258013</v>
          </cell>
        </row>
        <row r="22">
          <cell r="L22">
            <v>503258</v>
          </cell>
        </row>
        <row r="23">
          <cell r="L23">
            <v>2684123</v>
          </cell>
        </row>
        <row r="24">
          <cell r="L24">
            <v>932258</v>
          </cell>
        </row>
        <row r="25">
          <cell r="L25">
            <v>1409108</v>
          </cell>
        </row>
        <row r="26">
          <cell r="L26">
            <v>501105</v>
          </cell>
        </row>
        <row r="27">
          <cell r="L27">
            <v>12921415</v>
          </cell>
        </row>
        <row r="28">
          <cell r="L28">
            <v>33993</v>
          </cell>
        </row>
        <row r="29">
          <cell r="L29">
            <v>515</v>
          </cell>
        </row>
        <row r="30">
          <cell r="L30">
            <v>1556107</v>
          </cell>
        </row>
        <row r="31">
          <cell r="L31">
            <v>3877472</v>
          </cell>
        </row>
        <row r="32">
          <cell r="L32">
            <v>43211423</v>
          </cell>
        </row>
        <row r="33">
          <cell r="L33">
            <v>1189220</v>
          </cell>
        </row>
        <row r="34">
          <cell r="L34">
            <v>8988289</v>
          </cell>
        </row>
        <row r="35">
          <cell r="L35">
            <v>381141</v>
          </cell>
        </row>
        <row r="36">
          <cell r="L36">
            <v>15860175</v>
          </cell>
        </row>
        <row r="37">
          <cell r="L37">
            <v>47314312</v>
          </cell>
        </row>
        <row r="38">
          <cell r="L38">
            <v>86972457</v>
          </cell>
        </row>
        <row r="39">
          <cell r="L39">
            <v>2117787</v>
          </cell>
        </row>
        <row r="40">
          <cell r="L40">
            <v>3420787</v>
          </cell>
        </row>
        <row r="41">
          <cell r="L41">
            <v>43994161</v>
          </cell>
        </row>
        <row r="42">
          <cell r="L42">
            <v>12289646</v>
          </cell>
        </row>
        <row r="43">
          <cell r="L43">
            <v>9035975</v>
          </cell>
        </row>
        <row r="44">
          <cell r="L44">
            <v>472341210</v>
          </cell>
        </row>
        <row r="45">
          <cell r="L45">
            <v>1402864</v>
          </cell>
        </row>
        <row r="46">
          <cell r="L46">
            <v>64552047</v>
          </cell>
        </row>
      </sheetData>
      <sheetData sheetId="6">
        <row r="23">
          <cell r="C23">
            <v>80104775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ov11loa"/>
    </sheetNames>
    <sheetDataSet>
      <sheetData sheetId="0">
        <row r="10">
          <cell r="I10">
            <v>4274610</v>
          </cell>
        </row>
        <row r="19">
          <cell r="I19">
            <v>757311</v>
          </cell>
        </row>
        <row r="23">
          <cell r="I23">
            <v>28708</v>
          </cell>
        </row>
        <row r="25">
          <cell r="J25">
            <v>515126</v>
          </cell>
        </row>
        <row r="30">
          <cell r="I30">
            <v>270803</v>
          </cell>
        </row>
        <row r="31">
          <cell r="I31">
            <v>1997381</v>
          </cell>
        </row>
        <row r="32">
          <cell r="I32">
            <v>112</v>
          </cell>
        </row>
        <row r="33">
          <cell r="I33">
            <v>113921</v>
          </cell>
        </row>
        <row r="34">
          <cell r="I34">
            <v>171141</v>
          </cell>
        </row>
        <row r="35">
          <cell r="I35">
            <v>660787</v>
          </cell>
        </row>
        <row r="36">
          <cell r="I36">
            <v>228482</v>
          </cell>
        </row>
        <row r="37">
          <cell r="I37">
            <v>1007696</v>
          </cell>
        </row>
        <row r="38">
          <cell r="I38">
            <v>408735</v>
          </cell>
        </row>
        <row r="39">
          <cell r="I39">
            <v>2921606</v>
          </cell>
        </row>
        <row r="42">
          <cell r="I42">
            <v>19063788</v>
          </cell>
        </row>
        <row r="43">
          <cell r="I43">
            <v>616628</v>
          </cell>
        </row>
        <row r="44">
          <cell r="I44">
            <v>153517</v>
          </cell>
        </row>
        <row r="46">
          <cell r="J46">
            <v>1193297</v>
          </cell>
        </row>
        <row r="49">
          <cell r="I49">
            <v>4531970</v>
          </cell>
        </row>
        <row r="50">
          <cell r="I50">
            <v>529173</v>
          </cell>
        </row>
        <row r="51">
          <cell r="I51">
            <v>3837049</v>
          </cell>
        </row>
        <row r="53">
          <cell r="J53">
            <v>5655165</v>
          </cell>
        </row>
        <row r="56">
          <cell r="I56">
            <v>10000232</v>
          </cell>
        </row>
        <row r="57">
          <cell r="I57">
            <v>33</v>
          </cell>
        </row>
        <row r="58">
          <cell r="I58">
            <v>13106649</v>
          </cell>
        </row>
        <row r="59">
          <cell r="I59">
            <v>917733</v>
          </cell>
        </row>
        <row r="61">
          <cell r="J61">
            <v>28495097</v>
          </cell>
        </row>
        <row r="63">
          <cell r="J63">
            <v>31799716</v>
          </cell>
        </row>
        <row r="65">
          <cell r="J65">
            <v>501756</v>
          </cell>
        </row>
        <row r="67">
          <cell r="J67">
            <v>16543615</v>
          </cell>
        </row>
        <row r="73">
          <cell r="J73">
            <v>100336170</v>
          </cell>
        </row>
        <row r="77">
          <cell r="J77">
            <v>7448593</v>
          </cell>
        </row>
      </sheetData>
    </sheetDataSet>
  </externalBook>
</externalLink>
</file>

<file path=xl/externalLinks/externalLink220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732065</v>
          </cell>
        </row>
        <row r="5">
          <cell r="L5">
            <v>17</v>
          </cell>
        </row>
        <row r="6">
          <cell r="L6">
            <v>21565</v>
          </cell>
        </row>
        <row r="7">
          <cell r="L7">
            <v>14546489</v>
          </cell>
        </row>
        <row r="8">
          <cell r="L8">
            <v>20456862</v>
          </cell>
        </row>
        <row r="9">
          <cell r="L9">
            <v>4329690</v>
          </cell>
        </row>
        <row r="10">
          <cell r="L10">
            <v>202894</v>
          </cell>
        </row>
        <row r="11">
          <cell r="L11">
            <v>2820240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51435</v>
          </cell>
        </row>
        <row r="15">
          <cell r="L15">
            <v>6406675</v>
          </cell>
        </row>
        <row r="16">
          <cell r="L16">
            <v>1141</v>
          </cell>
        </row>
        <row r="17">
          <cell r="L17">
            <v>882145</v>
          </cell>
        </row>
        <row r="18">
          <cell r="L18">
            <v>745022</v>
          </cell>
        </row>
        <row r="19">
          <cell r="L19">
            <v>1603160</v>
          </cell>
        </row>
        <row r="20">
          <cell r="L20">
            <v>2122225</v>
          </cell>
        </row>
        <row r="21">
          <cell r="L21">
            <v>13563741</v>
          </cell>
        </row>
        <row r="22">
          <cell r="L22">
            <v>472418</v>
          </cell>
        </row>
        <row r="23">
          <cell r="L23">
            <v>2855716</v>
          </cell>
        </row>
        <row r="24">
          <cell r="L24">
            <v>856005</v>
          </cell>
        </row>
        <row r="25">
          <cell r="L25">
            <v>1548928</v>
          </cell>
        </row>
        <row r="26">
          <cell r="L26">
            <v>497401</v>
          </cell>
        </row>
        <row r="27">
          <cell r="L27">
            <v>13383272</v>
          </cell>
        </row>
        <row r="28">
          <cell r="L28">
            <v>29990</v>
          </cell>
        </row>
        <row r="29">
          <cell r="L29">
            <v>262</v>
          </cell>
        </row>
        <row r="30">
          <cell r="L30">
            <v>1552707</v>
          </cell>
        </row>
        <row r="31">
          <cell r="L31">
            <v>3574391</v>
          </cell>
        </row>
        <row r="32">
          <cell r="L32">
            <v>43793697</v>
          </cell>
        </row>
        <row r="33">
          <cell r="L33">
            <v>1202315</v>
          </cell>
        </row>
        <row r="34">
          <cell r="L34">
            <v>11291182</v>
          </cell>
        </row>
        <row r="35">
          <cell r="L35">
            <v>376666</v>
          </cell>
        </row>
        <row r="36">
          <cell r="L36">
            <v>16035068</v>
          </cell>
        </row>
        <row r="37">
          <cell r="L37">
            <v>47738134</v>
          </cell>
        </row>
        <row r="38">
          <cell r="L38">
            <v>88010770</v>
          </cell>
        </row>
        <row r="39">
          <cell r="L39">
            <v>1856733</v>
          </cell>
        </row>
        <row r="40">
          <cell r="L40">
            <v>3390098</v>
          </cell>
        </row>
        <row r="41">
          <cell r="L41">
            <v>43797601</v>
          </cell>
        </row>
        <row r="42">
          <cell r="L42">
            <v>12480022</v>
          </cell>
        </row>
        <row r="43">
          <cell r="L43">
            <v>9220749</v>
          </cell>
        </row>
        <row r="44">
          <cell r="L44">
            <v>477961297</v>
          </cell>
        </row>
        <row r="45">
          <cell r="L45">
            <v>1450871</v>
          </cell>
        </row>
        <row r="46">
          <cell r="L46">
            <v>66977365</v>
          </cell>
        </row>
      </sheetData>
      <sheetData sheetId="6">
        <row r="23">
          <cell r="C23">
            <v>82846487</v>
          </cell>
        </row>
      </sheetData>
    </sheetDataSet>
  </externalBook>
</externalLink>
</file>

<file path=xl/externalLinks/externalLink221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762982</v>
          </cell>
        </row>
        <row r="5">
          <cell r="L5">
            <v>19</v>
          </cell>
        </row>
        <row r="6">
          <cell r="L6">
            <v>21786</v>
          </cell>
        </row>
        <row r="7">
          <cell r="L7">
            <v>14334228</v>
          </cell>
        </row>
        <row r="8">
          <cell r="L8">
            <v>20666027</v>
          </cell>
        </row>
        <row r="9">
          <cell r="L9">
            <v>4329688</v>
          </cell>
        </row>
        <row r="10">
          <cell r="L10">
            <v>147732</v>
          </cell>
        </row>
        <row r="11">
          <cell r="L11">
            <v>2767615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63898</v>
          </cell>
        </row>
        <row r="15">
          <cell r="L15">
            <v>6412967</v>
          </cell>
        </row>
        <row r="16">
          <cell r="L16">
            <v>1159</v>
          </cell>
        </row>
        <row r="17">
          <cell r="L17">
            <v>892238</v>
          </cell>
        </row>
        <row r="18">
          <cell r="L18">
            <v>715842</v>
          </cell>
        </row>
        <row r="19">
          <cell r="L19">
            <v>1640004</v>
          </cell>
        </row>
        <row r="20">
          <cell r="L20">
            <v>2107118</v>
          </cell>
        </row>
        <row r="21">
          <cell r="L21">
            <v>13751907</v>
          </cell>
        </row>
        <row r="22">
          <cell r="L22">
            <v>486395</v>
          </cell>
        </row>
        <row r="23">
          <cell r="L23">
            <v>2876552</v>
          </cell>
        </row>
        <row r="24">
          <cell r="L24">
            <v>850083</v>
          </cell>
        </row>
        <row r="25">
          <cell r="L25">
            <v>1638554</v>
          </cell>
        </row>
        <row r="26">
          <cell r="L26">
            <v>527130</v>
          </cell>
        </row>
        <row r="27">
          <cell r="L27">
            <v>12849903</v>
          </cell>
        </row>
        <row r="28">
          <cell r="L28">
            <v>30513</v>
          </cell>
        </row>
        <row r="29">
          <cell r="L29">
            <v>186</v>
          </cell>
        </row>
        <row r="30">
          <cell r="L30">
            <v>1561375</v>
          </cell>
        </row>
        <row r="31">
          <cell r="L31">
            <v>3206490</v>
          </cell>
        </row>
        <row r="32">
          <cell r="L32">
            <v>42774731</v>
          </cell>
        </row>
        <row r="33">
          <cell r="L33">
            <v>1145405</v>
          </cell>
        </row>
        <row r="34">
          <cell r="L34">
            <v>10618118</v>
          </cell>
        </row>
        <row r="35">
          <cell r="L35">
            <v>394574</v>
          </cell>
        </row>
        <row r="36">
          <cell r="L36">
            <v>15824020</v>
          </cell>
        </row>
        <row r="37">
          <cell r="L37">
            <v>46436674</v>
          </cell>
        </row>
        <row r="38">
          <cell r="L38">
            <v>90613207</v>
          </cell>
        </row>
        <row r="39">
          <cell r="L39">
            <v>1830529</v>
          </cell>
        </row>
        <row r="40">
          <cell r="L40">
            <v>3386014</v>
          </cell>
        </row>
        <row r="41">
          <cell r="L41">
            <v>45267881</v>
          </cell>
        </row>
        <row r="42">
          <cell r="L42">
            <v>12641028</v>
          </cell>
        </row>
        <row r="43">
          <cell r="L43">
            <v>9209829</v>
          </cell>
        </row>
        <row r="44">
          <cell r="L44">
            <v>482805348</v>
          </cell>
        </row>
        <row r="45">
          <cell r="L45">
            <v>1643000</v>
          </cell>
        </row>
        <row r="46">
          <cell r="L46">
            <v>67385369</v>
          </cell>
        </row>
      </sheetData>
      <sheetData sheetId="6">
        <row r="23">
          <cell r="C23">
            <v>82549562</v>
          </cell>
        </row>
      </sheetData>
    </sheetDataSet>
  </externalBook>
</externalLink>
</file>

<file path=xl/externalLinks/externalLink222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872903</v>
          </cell>
        </row>
        <row r="5">
          <cell r="L5">
            <v>22</v>
          </cell>
        </row>
        <row r="6">
          <cell r="L6">
            <v>11824</v>
          </cell>
        </row>
        <row r="7">
          <cell r="L7">
            <v>6427436</v>
          </cell>
        </row>
        <row r="8">
          <cell r="L8">
            <v>21269677</v>
          </cell>
        </row>
        <row r="9">
          <cell r="L9">
            <v>4212500</v>
          </cell>
        </row>
        <row r="10">
          <cell r="L10">
            <v>187521</v>
          </cell>
        </row>
        <row r="11">
          <cell r="L11">
            <v>2725689</v>
          </cell>
        </row>
        <row r="12">
          <cell r="L12">
            <v>1246</v>
          </cell>
        </row>
        <row r="13">
          <cell r="L13">
            <v>11</v>
          </cell>
        </row>
        <row r="14">
          <cell r="L14">
            <v>60046</v>
          </cell>
        </row>
        <row r="15">
          <cell r="L15">
            <v>6244018</v>
          </cell>
        </row>
        <row r="16">
          <cell r="L16">
            <v>1109</v>
          </cell>
        </row>
        <row r="17">
          <cell r="L17">
            <v>891383</v>
          </cell>
        </row>
        <row r="18">
          <cell r="L18">
            <v>1025574</v>
          </cell>
        </row>
        <row r="19">
          <cell r="L19">
            <v>1596399</v>
          </cell>
        </row>
        <row r="20">
          <cell r="L20">
            <v>2120126</v>
          </cell>
        </row>
        <row r="21">
          <cell r="L21">
            <v>13478640</v>
          </cell>
        </row>
        <row r="22">
          <cell r="L22">
            <v>517249</v>
          </cell>
        </row>
        <row r="23">
          <cell r="L23">
            <v>2869808</v>
          </cell>
        </row>
        <row r="24">
          <cell r="L24">
            <v>843286</v>
          </cell>
        </row>
        <row r="25">
          <cell r="L25">
            <v>1618961</v>
          </cell>
        </row>
        <row r="26">
          <cell r="L26">
            <v>529763</v>
          </cell>
        </row>
        <row r="27">
          <cell r="L27">
            <v>12890745</v>
          </cell>
        </row>
        <row r="28">
          <cell r="L28">
            <v>533367</v>
          </cell>
        </row>
        <row r="29">
          <cell r="L29">
            <v>0</v>
          </cell>
        </row>
        <row r="30">
          <cell r="L30">
            <v>2571506</v>
          </cell>
        </row>
        <row r="31">
          <cell r="L31">
            <v>3294753</v>
          </cell>
        </row>
        <row r="32">
          <cell r="L32">
            <v>41555648</v>
          </cell>
        </row>
        <row r="33">
          <cell r="L33">
            <v>1147599</v>
          </cell>
        </row>
        <row r="34">
          <cell r="L34">
            <v>10536960</v>
          </cell>
        </row>
        <row r="35">
          <cell r="L35">
            <v>400187</v>
          </cell>
        </row>
        <row r="36">
          <cell r="L36">
            <v>15850021</v>
          </cell>
        </row>
        <row r="37">
          <cell r="L37">
            <v>47419462</v>
          </cell>
        </row>
        <row r="38">
          <cell r="L38">
            <v>93760216</v>
          </cell>
        </row>
        <row r="39">
          <cell r="L39">
            <v>1803234</v>
          </cell>
        </row>
        <row r="40">
          <cell r="L40">
            <v>988228</v>
          </cell>
        </row>
        <row r="41">
          <cell r="L41">
            <v>45700806</v>
          </cell>
        </row>
        <row r="42">
          <cell r="L42">
            <v>12862507</v>
          </cell>
        </row>
        <row r="43">
          <cell r="L43">
            <v>9011376</v>
          </cell>
        </row>
        <row r="44">
          <cell r="L44">
            <v>489999470</v>
          </cell>
        </row>
        <row r="45">
          <cell r="L45">
            <v>1698425</v>
          </cell>
        </row>
        <row r="46">
          <cell r="L46">
            <v>63382261</v>
          </cell>
        </row>
      </sheetData>
      <sheetData sheetId="6">
        <row r="23">
          <cell r="C23">
            <v>83327435</v>
          </cell>
        </row>
      </sheetData>
    </sheetDataSet>
  </externalBook>
</externalLink>
</file>

<file path=xl/externalLinks/externalLink223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692001</v>
          </cell>
        </row>
        <row r="5">
          <cell r="L5">
            <v>23</v>
          </cell>
        </row>
        <row r="6">
          <cell r="L6">
            <v>11638</v>
          </cell>
        </row>
        <row r="7">
          <cell r="L7">
            <v>6422657</v>
          </cell>
        </row>
        <row r="8">
          <cell r="L8">
            <v>21028800</v>
          </cell>
        </row>
        <row r="9">
          <cell r="L9">
            <v>4212500</v>
          </cell>
        </row>
        <row r="10">
          <cell r="L10">
            <v>182485</v>
          </cell>
        </row>
        <row r="11">
          <cell r="L11">
            <v>2703877</v>
          </cell>
        </row>
        <row r="12">
          <cell r="L12">
            <v>1126</v>
          </cell>
        </row>
        <row r="13">
          <cell r="L13">
            <v>15</v>
          </cell>
        </row>
        <row r="14">
          <cell r="L14">
            <v>57597</v>
          </cell>
        </row>
        <row r="15">
          <cell r="L15">
            <v>6434700</v>
          </cell>
        </row>
        <row r="16">
          <cell r="L16">
            <v>374</v>
          </cell>
        </row>
        <row r="17">
          <cell r="L17">
            <v>883075</v>
          </cell>
        </row>
        <row r="18">
          <cell r="L18">
            <v>1102180</v>
          </cell>
        </row>
        <row r="19">
          <cell r="L19">
            <v>1526669</v>
          </cell>
        </row>
        <row r="20">
          <cell r="L20">
            <v>2068496</v>
          </cell>
        </row>
        <row r="21">
          <cell r="L21">
            <v>13886692</v>
          </cell>
        </row>
        <row r="22">
          <cell r="L22">
            <v>496448</v>
          </cell>
        </row>
        <row r="23">
          <cell r="L23">
            <v>2917592</v>
          </cell>
        </row>
        <row r="24">
          <cell r="L24">
            <v>829101</v>
          </cell>
        </row>
        <row r="25">
          <cell r="L25">
            <v>1629994</v>
          </cell>
        </row>
        <row r="26">
          <cell r="L26">
            <v>532921</v>
          </cell>
        </row>
        <row r="27">
          <cell r="L27">
            <v>12330823</v>
          </cell>
        </row>
        <row r="28">
          <cell r="L28">
            <v>19764</v>
          </cell>
        </row>
        <row r="29">
          <cell r="L29">
            <v>0</v>
          </cell>
        </row>
        <row r="30">
          <cell r="L30">
            <v>2758305</v>
          </cell>
        </row>
        <row r="31">
          <cell r="L31">
            <v>3149885</v>
          </cell>
        </row>
        <row r="32">
          <cell r="L32">
            <v>40428277</v>
          </cell>
        </row>
        <row r="33">
          <cell r="L33">
            <v>1087669</v>
          </cell>
        </row>
        <row r="34">
          <cell r="L34">
            <v>10355678</v>
          </cell>
        </row>
        <row r="35">
          <cell r="L35">
            <v>398264</v>
          </cell>
        </row>
        <row r="36">
          <cell r="L36">
            <v>15619639</v>
          </cell>
        </row>
        <row r="37">
          <cell r="L37">
            <v>43971666</v>
          </cell>
        </row>
        <row r="38">
          <cell r="L38">
            <v>93811852</v>
          </cell>
        </row>
        <row r="39">
          <cell r="L39">
            <v>1806511</v>
          </cell>
        </row>
        <row r="40">
          <cell r="L40">
            <v>978831</v>
          </cell>
        </row>
        <row r="41">
          <cell r="L41">
            <v>45625208</v>
          </cell>
        </row>
        <row r="42">
          <cell r="L42">
            <v>12898678</v>
          </cell>
        </row>
        <row r="43">
          <cell r="L43">
            <v>9285781</v>
          </cell>
        </row>
        <row r="44">
          <cell r="L44">
            <v>493764324</v>
          </cell>
        </row>
        <row r="45">
          <cell r="L45">
            <v>1665954</v>
          </cell>
        </row>
        <row r="46">
          <cell r="L46">
            <v>63652594</v>
          </cell>
        </row>
      </sheetData>
      <sheetData sheetId="6">
        <row r="23">
          <cell r="C23">
            <v>86809239</v>
          </cell>
        </row>
      </sheetData>
    </sheetDataSet>
  </externalBook>
</externalLink>
</file>

<file path=xl/externalLinks/externalLink224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734998</v>
          </cell>
        </row>
        <row r="5">
          <cell r="L5">
            <v>26</v>
          </cell>
        </row>
        <row r="6">
          <cell r="L6">
            <v>11283</v>
          </cell>
        </row>
        <row r="7">
          <cell r="L7">
            <v>6163549</v>
          </cell>
        </row>
        <row r="8">
          <cell r="L8">
            <v>22411707</v>
          </cell>
        </row>
        <row r="9">
          <cell r="L9">
            <v>4212500</v>
          </cell>
        </row>
        <row r="10">
          <cell r="L10">
            <v>312551</v>
          </cell>
        </row>
        <row r="11">
          <cell r="L11">
            <v>2636173</v>
          </cell>
        </row>
        <row r="12">
          <cell r="L12">
            <v>1033</v>
          </cell>
        </row>
        <row r="13">
          <cell r="L13">
            <v>0</v>
          </cell>
        </row>
        <row r="14">
          <cell r="L14">
            <v>55606</v>
          </cell>
        </row>
        <row r="15">
          <cell r="L15">
            <v>6079794</v>
          </cell>
        </row>
        <row r="16">
          <cell r="L16">
            <v>322</v>
          </cell>
        </row>
        <row r="17">
          <cell r="L17">
            <v>1223142</v>
          </cell>
        </row>
        <row r="18">
          <cell r="L18">
            <v>803766</v>
          </cell>
        </row>
        <row r="19">
          <cell r="L19">
            <v>1587758</v>
          </cell>
        </row>
        <row r="20">
          <cell r="L20">
            <v>2182368</v>
          </cell>
        </row>
        <row r="21">
          <cell r="L21">
            <v>14035258</v>
          </cell>
        </row>
        <row r="22">
          <cell r="L22">
            <v>599347</v>
          </cell>
        </row>
        <row r="23">
          <cell r="L23">
            <v>3157775</v>
          </cell>
        </row>
        <row r="24">
          <cell r="L24">
            <v>808256</v>
          </cell>
        </row>
        <row r="25">
          <cell r="L25">
            <v>1559425</v>
          </cell>
        </row>
        <row r="26">
          <cell r="L26">
            <v>519787</v>
          </cell>
        </row>
        <row r="27">
          <cell r="L27">
            <v>12477056</v>
          </cell>
        </row>
        <row r="28">
          <cell r="L28">
            <v>517945</v>
          </cell>
        </row>
        <row r="29">
          <cell r="L29">
            <v>4478</v>
          </cell>
        </row>
        <row r="30">
          <cell r="L30">
            <v>2234472</v>
          </cell>
        </row>
        <row r="31">
          <cell r="L31">
            <v>3013067</v>
          </cell>
        </row>
        <row r="32">
          <cell r="L32">
            <v>39466358</v>
          </cell>
        </row>
        <row r="33">
          <cell r="L33">
            <v>1072344</v>
          </cell>
        </row>
        <row r="34">
          <cell r="L34">
            <v>10831481</v>
          </cell>
        </row>
        <row r="35">
          <cell r="L35">
            <v>401247</v>
          </cell>
        </row>
        <row r="36">
          <cell r="L36">
            <v>15331044</v>
          </cell>
        </row>
        <row r="37">
          <cell r="L37">
            <v>43292402</v>
          </cell>
        </row>
        <row r="38">
          <cell r="L38">
            <v>95511337</v>
          </cell>
        </row>
        <row r="39">
          <cell r="L39">
            <v>1790647</v>
          </cell>
        </row>
        <row r="40">
          <cell r="L40">
            <v>1160546</v>
          </cell>
        </row>
        <row r="41">
          <cell r="L41">
            <v>45578802</v>
          </cell>
        </row>
        <row r="42">
          <cell r="L42">
            <v>13382242</v>
          </cell>
        </row>
        <row r="43">
          <cell r="L43">
            <v>9227885</v>
          </cell>
        </row>
        <row r="44">
          <cell r="L44">
            <v>501124233</v>
          </cell>
        </row>
        <row r="45">
          <cell r="L45">
            <v>1658318</v>
          </cell>
        </row>
        <row r="46">
          <cell r="L46">
            <v>65274858</v>
          </cell>
        </row>
      </sheetData>
      <sheetData sheetId="6">
        <row r="23">
          <cell r="C23">
            <v>86409112</v>
          </cell>
        </row>
      </sheetData>
    </sheetDataSet>
  </externalBook>
</externalLink>
</file>

<file path=xl/externalLinks/externalLink225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779903</v>
          </cell>
        </row>
        <row r="5">
          <cell r="L5">
            <v>28</v>
          </cell>
        </row>
        <row r="6">
          <cell r="L6">
            <v>2586</v>
          </cell>
        </row>
        <row r="7">
          <cell r="L7">
            <v>6054320</v>
          </cell>
        </row>
        <row r="8">
          <cell r="L8">
            <v>23541777</v>
          </cell>
        </row>
        <row r="9">
          <cell r="L9">
            <v>4063157</v>
          </cell>
        </row>
        <row r="10">
          <cell r="L10">
            <v>319788</v>
          </cell>
        </row>
        <row r="11">
          <cell r="L11">
            <v>2549485</v>
          </cell>
        </row>
        <row r="12">
          <cell r="L12">
            <v>694</v>
          </cell>
        </row>
        <row r="13">
          <cell r="L13">
            <v>0</v>
          </cell>
        </row>
        <row r="14">
          <cell r="L14">
            <v>64706</v>
          </cell>
        </row>
        <row r="15">
          <cell r="L15">
            <v>6100244</v>
          </cell>
        </row>
        <row r="16">
          <cell r="L16">
            <v>270</v>
          </cell>
        </row>
        <row r="17">
          <cell r="L17">
            <v>1069997</v>
          </cell>
        </row>
        <row r="18">
          <cell r="L18">
            <v>977685</v>
          </cell>
        </row>
        <row r="19">
          <cell r="L19">
            <v>1599730</v>
          </cell>
        </row>
        <row r="20">
          <cell r="L20">
            <v>2196528</v>
          </cell>
        </row>
        <row r="21">
          <cell r="L21">
            <v>15325885</v>
          </cell>
        </row>
        <row r="22">
          <cell r="L22">
            <v>607815</v>
          </cell>
        </row>
        <row r="23">
          <cell r="L23">
            <v>3141533</v>
          </cell>
        </row>
        <row r="24">
          <cell r="L24">
            <v>801901</v>
          </cell>
        </row>
        <row r="25">
          <cell r="L25">
            <v>1523410</v>
          </cell>
        </row>
        <row r="26">
          <cell r="L26">
            <v>510013</v>
          </cell>
        </row>
        <row r="27">
          <cell r="L27">
            <v>12124606</v>
          </cell>
        </row>
        <row r="28">
          <cell r="L28">
            <v>557148</v>
          </cell>
        </row>
        <row r="29">
          <cell r="L29">
            <v>3932</v>
          </cell>
        </row>
        <row r="30">
          <cell r="L30">
            <v>2227467</v>
          </cell>
        </row>
        <row r="31">
          <cell r="L31">
            <v>3161092</v>
          </cell>
        </row>
        <row r="32">
          <cell r="L32">
            <v>40002401</v>
          </cell>
        </row>
        <row r="33">
          <cell r="L33">
            <v>1056903</v>
          </cell>
        </row>
        <row r="34">
          <cell r="L34">
            <v>11708178</v>
          </cell>
        </row>
        <row r="35">
          <cell r="L35">
            <v>397903</v>
          </cell>
        </row>
        <row r="36">
          <cell r="L36">
            <v>14976572</v>
          </cell>
        </row>
        <row r="37">
          <cell r="L37">
            <v>43269540</v>
          </cell>
        </row>
        <row r="38">
          <cell r="L38">
            <v>97936020</v>
          </cell>
        </row>
        <row r="39">
          <cell r="L39">
            <v>1768873</v>
          </cell>
        </row>
        <row r="40">
          <cell r="L40">
            <v>1503750</v>
          </cell>
        </row>
        <row r="41">
          <cell r="L41">
            <v>45421064</v>
          </cell>
        </row>
        <row r="42">
          <cell r="L42">
            <v>14146681</v>
          </cell>
        </row>
        <row r="43">
          <cell r="L43">
            <v>9113767</v>
          </cell>
        </row>
        <row r="44">
          <cell r="L44">
            <v>508579334</v>
          </cell>
        </row>
        <row r="45">
          <cell r="L45">
            <v>1667623</v>
          </cell>
        </row>
        <row r="46">
          <cell r="L46">
            <v>68045291</v>
          </cell>
        </row>
      </sheetData>
      <sheetData sheetId="6">
        <row r="23">
          <cell r="C23">
            <v>86277564</v>
          </cell>
        </row>
      </sheetData>
    </sheetDataSet>
  </externalBook>
</externalLink>
</file>

<file path=xl/externalLinks/externalLink226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811364</v>
          </cell>
        </row>
        <row r="5">
          <cell r="L5">
            <v>30</v>
          </cell>
        </row>
        <row r="6">
          <cell r="L6">
            <v>2532</v>
          </cell>
        </row>
        <row r="7">
          <cell r="L7">
            <v>6022746</v>
          </cell>
        </row>
        <row r="8">
          <cell r="L8">
            <v>22086005</v>
          </cell>
        </row>
        <row r="9">
          <cell r="L9">
            <v>4063157</v>
          </cell>
        </row>
        <row r="10">
          <cell r="L10">
            <v>331193</v>
          </cell>
        </row>
        <row r="11">
          <cell r="L11">
            <v>2553232</v>
          </cell>
        </row>
        <row r="12">
          <cell r="L12">
            <v>667</v>
          </cell>
        </row>
        <row r="13">
          <cell r="L13">
            <v>0</v>
          </cell>
        </row>
        <row r="14">
          <cell r="L14">
            <v>68838</v>
          </cell>
        </row>
        <row r="15">
          <cell r="L15">
            <v>6317170</v>
          </cell>
        </row>
        <row r="16">
          <cell r="L16">
            <v>217</v>
          </cell>
        </row>
        <row r="17">
          <cell r="L17">
            <v>1065252</v>
          </cell>
        </row>
        <row r="18">
          <cell r="L18">
            <v>955049</v>
          </cell>
        </row>
        <row r="19">
          <cell r="L19">
            <v>1645713</v>
          </cell>
        </row>
        <row r="20">
          <cell r="L20">
            <v>2207037</v>
          </cell>
        </row>
        <row r="21">
          <cell r="L21">
            <v>15131876</v>
          </cell>
        </row>
        <row r="22">
          <cell r="L22">
            <v>611276</v>
          </cell>
        </row>
        <row r="23">
          <cell r="L23">
            <v>3170809</v>
          </cell>
        </row>
        <row r="24">
          <cell r="L24">
            <v>823723</v>
          </cell>
        </row>
        <row r="25">
          <cell r="L25">
            <v>1522694</v>
          </cell>
        </row>
        <row r="26">
          <cell r="L26">
            <v>487325</v>
          </cell>
        </row>
        <row r="27">
          <cell r="L27">
            <v>11690450</v>
          </cell>
        </row>
        <row r="28">
          <cell r="L28">
            <v>15702</v>
          </cell>
        </row>
        <row r="29">
          <cell r="L29">
            <v>3382</v>
          </cell>
        </row>
        <row r="30">
          <cell r="L30">
            <v>2758537</v>
          </cell>
        </row>
        <row r="31">
          <cell r="L31">
            <v>3314989</v>
          </cell>
        </row>
        <row r="32">
          <cell r="L32">
            <v>39861906</v>
          </cell>
        </row>
        <row r="33">
          <cell r="L33">
            <v>1057991</v>
          </cell>
        </row>
        <row r="34">
          <cell r="L34">
            <v>11732226</v>
          </cell>
        </row>
        <row r="35">
          <cell r="L35">
            <v>392359</v>
          </cell>
        </row>
        <row r="36">
          <cell r="L36">
            <v>14916411</v>
          </cell>
        </row>
        <row r="37">
          <cell r="L37">
            <v>42873262</v>
          </cell>
        </row>
        <row r="38">
          <cell r="L38">
            <v>97992202</v>
          </cell>
        </row>
        <row r="39">
          <cell r="L39">
            <v>1817965</v>
          </cell>
        </row>
        <row r="40">
          <cell r="L40">
            <v>1536670</v>
          </cell>
        </row>
        <row r="41">
          <cell r="L41">
            <v>46052655</v>
          </cell>
        </row>
        <row r="42">
          <cell r="L42">
            <v>14863136</v>
          </cell>
        </row>
        <row r="43">
          <cell r="L43">
            <v>9467705</v>
          </cell>
        </row>
        <row r="44">
          <cell r="L44">
            <v>513174455</v>
          </cell>
        </row>
        <row r="45">
          <cell r="L45">
            <v>1596086</v>
          </cell>
        </row>
        <row r="46">
          <cell r="L46">
            <v>68186715</v>
          </cell>
        </row>
      </sheetData>
      <sheetData sheetId="6">
        <row r="23">
          <cell r="C23">
            <v>85202110</v>
          </cell>
        </row>
      </sheetData>
    </sheetDataSet>
  </externalBook>
</externalLink>
</file>

<file path=xl/externalLinks/externalLink227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842338</v>
          </cell>
        </row>
        <row r="5">
          <cell r="L5">
            <v>0</v>
          </cell>
        </row>
        <row r="6">
          <cell r="L6">
            <v>2049</v>
          </cell>
        </row>
        <row r="7">
          <cell r="L7">
            <v>5945660</v>
          </cell>
        </row>
        <row r="8">
          <cell r="L8">
            <v>22788771</v>
          </cell>
        </row>
        <row r="9">
          <cell r="L9">
            <v>4063157</v>
          </cell>
        </row>
        <row r="10">
          <cell r="L10">
            <v>353299</v>
          </cell>
        </row>
        <row r="11">
          <cell r="L11">
            <v>2493595</v>
          </cell>
        </row>
        <row r="12">
          <cell r="L12">
            <v>516</v>
          </cell>
        </row>
        <row r="13">
          <cell r="L13">
            <v>0</v>
          </cell>
        </row>
        <row r="14">
          <cell r="L14">
            <v>68931</v>
          </cell>
        </row>
        <row r="15">
          <cell r="L15">
            <v>6330891</v>
          </cell>
        </row>
        <row r="16">
          <cell r="L16">
            <v>164</v>
          </cell>
        </row>
        <row r="17">
          <cell r="L17">
            <v>971357</v>
          </cell>
        </row>
        <row r="18">
          <cell r="L18">
            <v>646189</v>
          </cell>
        </row>
        <row r="19">
          <cell r="L19">
            <v>1670045</v>
          </cell>
        </row>
        <row r="20">
          <cell r="L20">
            <v>2160387</v>
          </cell>
        </row>
        <row r="21">
          <cell r="L21">
            <v>13708650</v>
          </cell>
        </row>
        <row r="22">
          <cell r="L22">
            <v>605852</v>
          </cell>
        </row>
        <row r="23">
          <cell r="L23">
            <v>3156783</v>
          </cell>
        </row>
        <row r="24">
          <cell r="L24">
            <v>817513</v>
          </cell>
        </row>
        <row r="25">
          <cell r="L25">
            <v>2326500</v>
          </cell>
        </row>
        <row r="26">
          <cell r="L26">
            <v>471309</v>
          </cell>
        </row>
        <row r="27">
          <cell r="L27">
            <v>13059778</v>
          </cell>
        </row>
        <row r="28">
          <cell r="L28">
            <v>541754</v>
          </cell>
        </row>
        <row r="29">
          <cell r="L29">
            <v>2812</v>
          </cell>
        </row>
        <row r="30">
          <cell r="L30">
            <v>2214857</v>
          </cell>
        </row>
        <row r="31">
          <cell r="L31">
            <v>3466332</v>
          </cell>
        </row>
        <row r="32">
          <cell r="L32">
            <v>39999501</v>
          </cell>
        </row>
        <row r="33">
          <cell r="L33">
            <v>999550</v>
          </cell>
        </row>
        <row r="34">
          <cell r="L34">
            <v>11252787</v>
          </cell>
        </row>
        <row r="35">
          <cell r="L35">
            <v>383569</v>
          </cell>
        </row>
        <row r="36">
          <cell r="L36">
            <v>15845044</v>
          </cell>
        </row>
        <row r="37">
          <cell r="L37">
            <v>42183098</v>
          </cell>
        </row>
        <row r="38">
          <cell r="L38">
            <v>102435586</v>
          </cell>
        </row>
        <row r="39">
          <cell r="L39">
            <v>1802950</v>
          </cell>
        </row>
        <row r="40">
          <cell r="L40">
            <v>1502580</v>
          </cell>
        </row>
        <row r="41">
          <cell r="L41">
            <v>45984125</v>
          </cell>
        </row>
        <row r="42">
          <cell r="L42">
            <v>14989281</v>
          </cell>
        </row>
        <row r="43">
          <cell r="L43">
            <v>9347537</v>
          </cell>
        </row>
        <row r="44">
          <cell r="L44">
            <v>518624663</v>
          </cell>
        </row>
        <row r="45">
          <cell r="L45">
            <v>1582414</v>
          </cell>
        </row>
        <row r="46">
          <cell r="L46">
            <v>68344790</v>
          </cell>
        </row>
      </sheetData>
      <sheetData sheetId="6">
        <row r="23">
          <cell r="C23">
            <v>84678532</v>
          </cell>
        </row>
      </sheetData>
    </sheetDataSet>
  </externalBook>
</externalLink>
</file>

<file path=xl/externalLinks/externalLink228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934320</v>
          </cell>
        </row>
        <row r="5">
          <cell r="L5">
            <v>0</v>
          </cell>
        </row>
        <row r="6">
          <cell r="L6">
            <v>4187</v>
          </cell>
        </row>
        <row r="7">
          <cell r="L7">
            <v>1324101</v>
          </cell>
        </row>
        <row r="8">
          <cell r="L8">
            <v>23145009</v>
          </cell>
        </row>
        <row r="9">
          <cell r="L9">
            <v>3945970</v>
          </cell>
        </row>
        <row r="10">
          <cell r="L10">
            <v>328254</v>
          </cell>
        </row>
        <row r="11">
          <cell r="L11">
            <v>1643998</v>
          </cell>
        </row>
        <row r="12">
          <cell r="L12">
            <v>472</v>
          </cell>
        </row>
        <row r="13">
          <cell r="L13">
            <v>0</v>
          </cell>
        </row>
        <row r="14">
          <cell r="L14">
            <v>68492</v>
          </cell>
        </row>
        <row r="15">
          <cell r="L15">
            <v>6154373</v>
          </cell>
        </row>
        <row r="16">
          <cell r="L16">
            <v>129</v>
          </cell>
        </row>
        <row r="17">
          <cell r="L17">
            <v>566350</v>
          </cell>
        </row>
        <row r="18">
          <cell r="L18">
            <v>671987</v>
          </cell>
        </row>
        <row r="19">
          <cell r="L19">
            <v>1816202</v>
          </cell>
        </row>
        <row r="20">
          <cell r="L20">
            <v>2181202</v>
          </cell>
        </row>
        <row r="21">
          <cell r="L21">
            <v>17399658</v>
          </cell>
        </row>
        <row r="22">
          <cell r="L22">
            <v>622890</v>
          </cell>
        </row>
        <row r="23">
          <cell r="L23">
            <v>3219865</v>
          </cell>
        </row>
        <row r="24">
          <cell r="L24">
            <v>861847</v>
          </cell>
        </row>
        <row r="25">
          <cell r="L25">
            <v>2502430</v>
          </cell>
        </row>
        <row r="26">
          <cell r="L26">
            <v>490680</v>
          </cell>
        </row>
        <row r="27">
          <cell r="L27">
            <v>14354966</v>
          </cell>
        </row>
        <row r="28">
          <cell r="L28">
            <v>515474</v>
          </cell>
        </row>
        <row r="29">
          <cell r="L29">
            <v>2270</v>
          </cell>
        </row>
        <row r="30">
          <cell r="L30">
            <v>2268052</v>
          </cell>
        </row>
        <row r="31">
          <cell r="L31">
            <v>3835847</v>
          </cell>
        </row>
        <row r="32">
          <cell r="L32">
            <v>37984467</v>
          </cell>
        </row>
        <row r="33">
          <cell r="L33">
            <v>1001512</v>
          </cell>
        </row>
        <row r="34">
          <cell r="L34">
            <v>10295022</v>
          </cell>
        </row>
        <row r="35">
          <cell r="L35">
            <v>387524</v>
          </cell>
        </row>
        <row r="36">
          <cell r="L36">
            <v>15769050</v>
          </cell>
        </row>
        <row r="37">
          <cell r="L37">
            <v>40774724</v>
          </cell>
        </row>
        <row r="38">
          <cell r="L38">
            <v>102188573</v>
          </cell>
        </row>
        <row r="39">
          <cell r="L39">
            <v>1736881</v>
          </cell>
        </row>
        <row r="40">
          <cell r="L40">
            <v>1526980</v>
          </cell>
        </row>
        <row r="41">
          <cell r="L41">
            <v>47456737</v>
          </cell>
        </row>
        <row r="42">
          <cell r="L42">
            <v>15374966</v>
          </cell>
        </row>
        <row r="43">
          <cell r="L43">
            <v>9263783</v>
          </cell>
        </row>
        <row r="44">
          <cell r="L44">
            <v>524319099</v>
          </cell>
        </row>
        <row r="45">
          <cell r="L45">
            <v>1583281</v>
          </cell>
        </row>
        <row r="46">
          <cell r="L46">
            <v>67751222</v>
          </cell>
        </row>
      </sheetData>
      <sheetData sheetId="6">
        <row r="23">
          <cell r="C23">
            <v>86830558</v>
          </cell>
        </row>
      </sheetData>
    </sheetDataSet>
  </externalBook>
</externalLink>
</file>

<file path=xl/externalLinks/externalLink229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982834</v>
          </cell>
        </row>
        <row r="5">
          <cell r="L5">
            <v>1</v>
          </cell>
        </row>
        <row r="6">
          <cell r="L6">
            <v>3308</v>
          </cell>
        </row>
        <row r="7">
          <cell r="L7">
            <v>6684654</v>
          </cell>
        </row>
        <row r="8">
          <cell r="L8">
            <v>22233558</v>
          </cell>
        </row>
        <row r="9">
          <cell r="L9">
            <v>3941747</v>
          </cell>
        </row>
        <row r="10">
          <cell r="L10">
            <v>260837</v>
          </cell>
        </row>
        <row r="11">
          <cell r="L11">
            <v>1657170</v>
          </cell>
        </row>
        <row r="12">
          <cell r="L12">
            <v>445</v>
          </cell>
        </row>
        <row r="13">
          <cell r="L13">
            <v>0</v>
          </cell>
        </row>
        <row r="14">
          <cell r="L14">
            <v>40909</v>
          </cell>
        </row>
        <row r="15">
          <cell r="L15">
            <v>5751917</v>
          </cell>
        </row>
        <row r="16">
          <cell r="L16">
            <v>145</v>
          </cell>
        </row>
        <row r="17">
          <cell r="L17">
            <v>598207</v>
          </cell>
        </row>
        <row r="18">
          <cell r="L18">
            <v>726268</v>
          </cell>
        </row>
        <row r="19">
          <cell r="L19">
            <v>1772444</v>
          </cell>
        </row>
        <row r="20">
          <cell r="L20">
            <v>2290577</v>
          </cell>
        </row>
        <row r="21">
          <cell r="L21">
            <v>17355105</v>
          </cell>
        </row>
        <row r="22">
          <cell r="L22">
            <v>620155</v>
          </cell>
        </row>
        <row r="23">
          <cell r="L23">
            <v>3261997</v>
          </cell>
        </row>
        <row r="24">
          <cell r="L24">
            <v>856050</v>
          </cell>
        </row>
        <row r="25">
          <cell r="L25">
            <v>2515219</v>
          </cell>
        </row>
        <row r="26">
          <cell r="L26">
            <v>488217</v>
          </cell>
        </row>
        <row r="27">
          <cell r="L27">
            <v>14175130</v>
          </cell>
        </row>
        <row r="28">
          <cell r="L28">
            <v>523487</v>
          </cell>
        </row>
        <row r="29">
          <cell r="L29">
            <v>1896</v>
          </cell>
        </row>
        <row r="30">
          <cell r="L30">
            <v>2259701</v>
          </cell>
        </row>
        <row r="31">
          <cell r="L31">
            <v>1437305</v>
          </cell>
        </row>
        <row r="32">
          <cell r="L32">
            <v>41480024</v>
          </cell>
        </row>
        <row r="33">
          <cell r="L33">
            <v>984879</v>
          </cell>
        </row>
        <row r="34">
          <cell r="L34">
            <v>9717066</v>
          </cell>
        </row>
        <row r="35">
          <cell r="L35">
            <v>371458</v>
          </cell>
        </row>
        <row r="36">
          <cell r="L36">
            <v>16023930</v>
          </cell>
        </row>
        <row r="37">
          <cell r="L37">
            <v>40575840</v>
          </cell>
        </row>
        <row r="38">
          <cell r="L38">
            <v>103532635</v>
          </cell>
        </row>
        <row r="39">
          <cell r="L39">
            <v>1704482</v>
          </cell>
        </row>
        <row r="40">
          <cell r="L40">
            <v>1475126</v>
          </cell>
        </row>
        <row r="41">
          <cell r="L41">
            <v>52231455</v>
          </cell>
        </row>
        <row r="42">
          <cell r="L42">
            <v>15699932</v>
          </cell>
        </row>
        <row r="43">
          <cell r="L43">
            <v>8289952</v>
          </cell>
        </row>
        <row r="44">
          <cell r="L44">
            <v>533472851</v>
          </cell>
        </row>
        <row r="45">
          <cell r="L45">
            <v>1581364</v>
          </cell>
        </row>
        <row r="46">
          <cell r="L46">
            <v>67396241</v>
          </cell>
        </row>
      </sheetData>
      <sheetData sheetId="6">
        <row r="23">
          <cell r="C23">
            <v>87310643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c11loa"/>
    </sheetNames>
    <sheetDataSet>
      <sheetData sheetId="0">
        <row r="10">
          <cell r="I10">
            <v>4847285</v>
          </cell>
        </row>
        <row r="19">
          <cell r="I19">
            <v>490659</v>
          </cell>
        </row>
        <row r="23">
          <cell r="I23">
            <v>28180</v>
          </cell>
        </row>
        <row r="25">
          <cell r="J25">
            <v>595074</v>
          </cell>
        </row>
        <row r="30">
          <cell r="I30">
            <v>233324</v>
          </cell>
        </row>
        <row r="31">
          <cell r="I31">
            <v>1954881</v>
          </cell>
        </row>
        <row r="32">
          <cell r="I32">
            <v>98</v>
          </cell>
        </row>
        <row r="33">
          <cell r="I33">
            <v>116819</v>
          </cell>
        </row>
        <row r="34">
          <cell r="I34">
            <v>166996</v>
          </cell>
        </row>
        <row r="35">
          <cell r="I35">
            <v>647682</v>
          </cell>
        </row>
        <row r="36">
          <cell r="I36">
            <v>237634</v>
          </cell>
        </row>
        <row r="37">
          <cell r="I37">
            <v>981037</v>
          </cell>
        </row>
        <row r="38">
          <cell r="I38">
            <v>374787</v>
          </cell>
        </row>
        <row r="39">
          <cell r="I39">
            <v>3058036</v>
          </cell>
        </row>
        <row r="42">
          <cell r="I42">
            <v>17734419</v>
          </cell>
        </row>
        <row r="43">
          <cell r="I43">
            <v>596680</v>
          </cell>
        </row>
        <row r="44">
          <cell r="I44">
            <v>156813</v>
          </cell>
        </row>
        <row r="46">
          <cell r="J46">
            <v>1677375</v>
          </cell>
        </row>
        <row r="49">
          <cell r="I49">
            <v>4626836</v>
          </cell>
        </row>
        <row r="50">
          <cell r="I50">
            <v>526054</v>
          </cell>
        </row>
        <row r="51">
          <cell r="I51">
            <v>6758699</v>
          </cell>
        </row>
        <row r="53">
          <cell r="J53">
            <v>5733524</v>
          </cell>
        </row>
        <row r="56">
          <cell r="I56">
            <v>9793679</v>
          </cell>
        </row>
        <row r="57">
          <cell r="I57">
            <v>39</v>
          </cell>
        </row>
        <row r="58">
          <cell r="I58">
            <v>12189529</v>
          </cell>
        </row>
        <row r="59">
          <cell r="I59">
            <v>854073</v>
          </cell>
        </row>
        <row r="61">
          <cell r="J61">
            <v>30477250</v>
          </cell>
        </row>
        <row r="63">
          <cell r="J63">
            <v>33983912</v>
          </cell>
        </row>
        <row r="65">
          <cell r="J65">
            <v>513885</v>
          </cell>
        </row>
        <row r="67">
          <cell r="J67">
            <v>17098846</v>
          </cell>
        </row>
        <row r="73">
          <cell r="J73">
            <v>102153988</v>
          </cell>
        </row>
        <row r="77">
          <cell r="J77">
            <v>7436111</v>
          </cell>
        </row>
      </sheetData>
    </sheetDataSet>
  </externalBook>
</externalLink>
</file>

<file path=xl/externalLinks/externalLink230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970446</v>
          </cell>
        </row>
        <row r="5">
          <cell r="L5">
            <v>4</v>
          </cell>
        </row>
        <row r="6">
          <cell r="L6">
            <v>2929</v>
          </cell>
        </row>
        <row r="7">
          <cell r="L7">
            <v>6470654</v>
          </cell>
        </row>
        <row r="8">
          <cell r="L8">
            <v>25703874</v>
          </cell>
        </row>
        <row r="9">
          <cell r="L9">
            <v>3940689</v>
          </cell>
        </row>
        <row r="10">
          <cell r="L10">
            <v>307150</v>
          </cell>
        </row>
        <row r="11">
          <cell r="L11">
            <v>1620195</v>
          </cell>
        </row>
        <row r="12">
          <cell r="L12">
            <v>411</v>
          </cell>
        </row>
        <row r="13">
          <cell r="L13">
            <v>0</v>
          </cell>
        </row>
        <row r="14">
          <cell r="L14">
            <v>40878</v>
          </cell>
        </row>
        <row r="15">
          <cell r="L15">
            <v>5809223</v>
          </cell>
        </row>
        <row r="16">
          <cell r="L16">
            <v>90</v>
          </cell>
        </row>
        <row r="17">
          <cell r="L17">
            <v>591481</v>
          </cell>
        </row>
        <row r="18">
          <cell r="L18">
            <v>770012</v>
          </cell>
        </row>
        <row r="19">
          <cell r="L19">
            <v>1714201</v>
          </cell>
        </row>
        <row r="20">
          <cell r="L20">
            <v>2290041</v>
          </cell>
        </row>
        <row r="21">
          <cell r="L21">
            <v>17212187</v>
          </cell>
        </row>
        <row r="22">
          <cell r="L22">
            <v>638000</v>
          </cell>
        </row>
        <row r="23">
          <cell r="L23">
            <v>3236093</v>
          </cell>
        </row>
        <row r="24">
          <cell r="L24">
            <v>847859</v>
          </cell>
        </row>
        <row r="25">
          <cell r="L25">
            <v>2567822</v>
          </cell>
        </row>
        <row r="26">
          <cell r="L26">
            <v>487669</v>
          </cell>
        </row>
        <row r="27">
          <cell r="L27">
            <v>13956852</v>
          </cell>
        </row>
        <row r="28">
          <cell r="L28">
            <v>11269</v>
          </cell>
        </row>
        <row r="29">
          <cell r="L29">
            <v>1294</v>
          </cell>
        </row>
        <row r="30">
          <cell r="L30">
            <v>2735997</v>
          </cell>
        </row>
        <row r="31">
          <cell r="L31">
            <v>4937563</v>
          </cell>
        </row>
        <row r="32">
          <cell r="L32">
            <v>38821762</v>
          </cell>
        </row>
        <row r="33">
          <cell r="L33">
            <v>925321</v>
          </cell>
        </row>
        <row r="34">
          <cell r="L34">
            <v>9016666</v>
          </cell>
        </row>
        <row r="35">
          <cell r="L35">
            <v>369795</v>
          </cell>
        </row>
        <row r="36">
          <cell r="L36">
            <v>16556779</v>
          </cell>
        </row>
        <row r="37">
          <cell r="L37">
            <v>39875613</v>
          </cell>
        </row>
        <row r="38">
          <cell r="L38">
            <v>103849013</v>
          </cell>
        </row>
        <row r="39">
          <cell r="L39">
            <v>1681106</v>
          </cell>
        </row>
        <row r="40">
          <cell r="L40">
            <v>1465069</v>
          </cell>
        </row>
        <row r="41">
          <cell r="L41">
            <v>52942766</v>
          </cell>
        </row>
        <row r="42">
          <cell r="L42">
            <v>15335073</v>
          </cell>
        </row>
        <row r="43">
          <cell r="L43">
            <v>9421292</v>
          </cell>
        </row>
        <row r="44">
          <cell r="L44">
            <v>536243877</v>
          </cell>
        </row>
        <row r="45">
          <cell r="L45">
            <v>1575385</v>
          </cell>
        </row>
        <row r="46">
          <cell r="L46">
            <v>66881528</v>
          </cell>
        </row>
      </sheetData>
      <sheetData sheetId="6">
        <row r="23">
          <cell r="C23">
            <v>85398167</v>
          </cell>
        </row>
      </sheetData>
    </sheetDataSet>
  </externalBook>
</externalLink>
</file>

<file path=xl/externalLinks/externalLink231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1192083</v>
          </cell>
        </row>
        <row r="5">
          <cell r="L5">
            <v>2812</v>
          </cell>
        </row>
        <row r="6">
          <cell r="L6">
            <v>1529</v>
          </cell>
        </row>
        <row r="7">
          <cell r="L7">
            <v>1927316</v>
          </cell>
        </row>
        <row r="8">
          <cell r="L8">
            <v>29437529</v>
          </cell>
        </row>
        <row r="9">
          <cell r="L9">
            <v>3822413</v>
          </cell>
        </row>
        <row r="10">
          <cell r="L10">
            <v>326170</v>
          </cell>
        </row>
        <row r="11">
          <cell r="L11">
            <v>2315778</v>
          </cell>
        </row>
        <row r="12">
          <cell r="L12">
            <v>392</v>
          </cell>
        </row>
        <row r="13">
          <cell r="L13">
            <v>0</v>
          </cell>
        </row>
        <row r="14">
          <cell r="L14">
            <v>55951</v>
          </cell>
        </row>
        <row r="15">
          <cell r="L15">
            <v>5794515</v>
          </cell>
        </row>
        <row r="16">
          <cell r="L16">
            <v>90</v>
          </cell>
        </row>
        <row r="17">
          <cell r="L17">
            <v>608403</v>
          </cell>
        </row>
        <row r="18">
          <cell r="L18">
            <v>854254</v>
          </cell>
        </row>
        <row r="19">
          <cell r="L19">
            <v>1840847</v>
          </cell>
        </row>
        <row r="20">
          <cell r="L20">
            <v>2326677</v>
          </cell>
        </row>
        <row r="21">
          <cell r="L21">
            <v>17191006</v>
          </cell>
        </row>
        <row r="22">
          <cell r="L22">
            <v>639312</v>
          </cell>
        </row>
        <row r="23">
          <cell r="L23">
            <v>3246446</v>
          </cell>
        </row>
        <row r="24">
          <cell r="L24">
            <v>848014</v>
          </cell>
        </row>
        <row r="25">
          <cell r="L25">
            <v>2450652</v>
          </cell>
        </row>
        <row r="26">
          <cell r="L26">
            <v>498351</v>
          </cell>
        </row>
        <row r="27">
          <cell r="L27">
            <v>13510246</v>
          </cell>
        </row>
        <row r="28">
          <cell r="L28">
            <v>10132</v>
          </cell>
        </row>
        <row r="29">
          <cell r="L29">
            <v>684</v>
          </cell>
        </row>
        <row r="30">
          <cell r="L30">
            <v>2735400</v>
          </cell>
        </row>
        <row r="31">
          <cell r="L31">
            <v>5029557</v>
          </cell>
        </row>
        <row r="32">
          <cell r="L32">
            <v>40145295</v>
          </cell>
        </row>
        <row r="33">
          <cell r="L33">
            <v>912491</v>
          </cell>
        </row>
        <row r="34">
          <cell r="L34">
            <v>8893600</v>
          </cell>
        </row>
        <row r="35">
          <cell r="L35">
            <v>371297</v>
          </cell>
        </row>
        <row r="36">
          <cell r="L36">
            <v>16875819</v>
          </cell>
        </row>
        <row r="37">
          <cell r="L37">
            <v>40159546</v>
          </cell>
        </row>
        <row r="38">
          <cell r="L38">
            <v>104357160</v>
          </cell>
        </row>
        <row r="39">
          <cell r="L39">
            <v>1682747</v>
          </cell>
        </row>
        <row r="40">
          <cell r="L40">
            <v>1483702</v>
          </cell>
        </row>
        <row r="41">
          <cell r="L41">
            <v>55250629</v>
          </cell>
        </row>
        <row r="42">
          <cell r="L42">
            <v>17158084</v>
          </cell>
        </row>
        <row r="43">
          <cell r="L43">
            <v>9991500</v>
          </cell>
        </row>
        <row r="44">
          <cell r="L44">
            <v>546964512</v>
          </cell>
        </row>
        <row r="45">
          <cell r="L45">
            <v>1562602</v>
          </cell>
        </row>
        <row r="46">
          <cell r="L46">
            <v>67636743</v>
          </cell>
        </row>
      </sheetData>
      <sheetData sheetId="6">
        <row r="23">
          <cell r="C23">
            <v>86306639</v>
          </cell>
        </row>
      </sheetData>
    </sheetDataSet>
  </externalBook>
</externalLink>
</file>

<file path=xl/externalLinks/externalLink232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1054076</v>
          </cell>
        </row>
        <row r="5">
          <cell r="L5">
            <v>2337</v>
          </cell>
        </row>
        <row r="6">
          <cell r="L6">
            <v>2733</v>
          </cell>
        </row>
        <row r="7">
          <cell r="L7">
            <v>6326869</v>
          </cell>
        </row>
        <row r="8">
          <cell r="L8">
            <v>28766214</v>
          </cell>
        </row>
        <row r="9">
          <cell r="L9">
            <v>3821342</v>
          </cell>
        </row>
        <row r="10">
          <cell r="L10">
            <v>319695</v>
          </cell>
        </row>
        <row r="11">
          <cell r="L11">
            <v>2315168</v>
          </cell>
        </row>
        <row r="12">
          <cell r="L12">
            <v>362</v>
          </cell>
        </row>
        <row r="13">
          <cell r="L13">
            <v>0</v>
          </cell>
        </row>
        <row r="14">
          <cell r="L14">
            <v>55295</v>
          </cell>
        </row>
        <row r="15">
          <cell r="L15">
            <v>5677257</v>
          </cell>
        </row>
        <row r="16">
          <cell r="L16">
            <v>90</v>
          </cell>
        </row>
        <row r="17">
          <cell r="L17">
            <v>627588</v>
          </cell>
        </row>
        <row r="18">
          <cell r="L18">
            <v>848821</v>
          </cell>
        </row>
        <row r="19">
          <cell r="L19">
            <v>1814171</v>
          </cell>
        </row>
        <row r="20">
          <cell r="L20">
            <v>2261213</v>
          </cell>
        </row>
        <row r="21">
          <cell r="L21">
            <v>17459222</v>
          </cell>
        </row>
        <row r="22">
          <cell r="L22">
            <v>661897</v>
          </cell>
        </row>
        <row r="23">
          <cell r="L23">
            <v>3240691</v>
          </cell>
        </row>
        <row r="24">
          <cell r="L24">
            <v>847432</v>
          </cell>
        </row>
        <row r="25">
          <cell r="L25">
            <v>4138391</v>
          </cell>
        </row>
        <row r="26">
          <cell r="L26">
            <v>498671</v>
          </cell>
        </row>
        <row r="27">
          <cell r="L27">
            <v>12416623</v>
          </cell>
        </row>
        <row r="28">
          <cell r="L28">
            <v>9367</v>
          </cell>
        </row>
        <row r="29">
          <cell r="L29">
            <v>1211</v>
          </cell>
        </row>
        <row r="30">
          <cell r="L30">
            <v>2749937</v>
          </cell>
        </row>
        <row r="31">
          <cell r="L31">
            <v>5163169</v>
          </cell>
        </row>
        <row r="32">
          <cell r="L32">
            <v>40599107</v>
          </cell>
        </row>
        <row r="33">
          <cell r="L33">
            <v>869288</v>
          </cell>
        </row>
        <row r="34">
          <cell r="L34">
            <v>9128770</v>
          </cell>
        </row>
        <row r="35">
          <cell r="L35">
            <v>380921</v>
          </cell>
        </row>
        <row r="36">
          <cell r="L36">
            <v>18181893</v>
          </cell>
        </row>
        <row r="37">
          <cell r="L37">
            <v>40883179</v>
          </cell>
        </row>
        <row r="38">
          <cell r="L38">
            <v>103812292</v>
          </cell>
        </row>
        <row r="39">
          <cell r="L39">
            <v>1662115</v>
          </cell>
        </row>
        <row r="40">
          <cell r="L40">
            <v>1499562</v>
          </cell>
        </row>
        <row r="41">
          <cell r="L41">
            <v>54270994</v>
          </cell>
        </row>
        <row r="42">
          <cell r="L42">
            <v>17277302</v>
          </cell>
        </row>
        <row r="43">
          <cell r="L43">
            <v>9760531</v>
          </cell>
        </row>
        <row r="44">
          <cell r="L44">
            <v>552856309</v>
          </cell>
        </row>
        <row r="45">
          <cell r="L45">
            <v>1602645</v>
          </cell>
        </row>
        <row r="46">
          <cell r="L46">
            <v>75279093</v>
          </cell>
        </row>
      </sheetData>
      <sheetData sheetId="6">
        <row r="23">
          <cell r="C23">
            <v>87273134</v>
          </cell>
        </row>
      </sheetData>
    </sheetDataSet>
  </externalBook>
</externalLink>
</file>

<file path=xl/externalLinks/externalLink233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880009</v>
          </cell>
        </row>
        <row r="5">
          <cell r="L5">
            <v>5675</v>
          </cell>
        </row>
        <row r="6">
          <cell r="L6">
            <v>3129</v>
          </cell>
        </row>
        <row r="7">
          <cell r="L7">
            <v>6517699</v>
          </cell>
        </row>
        <row r="8">
          <cell r="L8">
            <v>29674949</v>
          </cell>
        </row>
        <row r="9">
          <cell r="L9">
            <v>3820463</v>
          </cell>
        </row>
        <row r="10">
          <cell r="L10">
            <v>384071</v>
          </cell>
        </row>
        <row r="11">
          <cell r="L11">
            <v>2285063</v>
          </cell>
        </row>
        <row r="12">
          <cell r="L12">
            <v>483</v>
          </cell>
        </row>
        <row r="13">
          <cell r="L13">
            <v>0</v>
          </cell>
        </row>
        <row r="14">
          <cell r="L14">
            <v>50432</v>
          </cell>
        </row>
        <row r="15">
          <cell r="L15">
            <v>5604550</v>
          </cell>
        </row>
        <row r="16">
          <cell r="L16">
            <v>92</v>
          </cell>
        </row>
        <row r="17">
          <cell r="L17">
            <v>623610</v>
          </cell>
        </row>
        <row r="18">
          <cell r="L18">
            <v>803629</v>
          </cell>
        </row>
        <row r="19">
          <cell r="L19">
            <v>1849308</v>
          </cell>
        </row>
        <row r="20">
          <cell r="L20">
            <v>2299290</v>
          </cell>
        </row>
        <row r="21">
          <cell r="L21">
            <v>17381697</v>
          </cell>
        </row>
        <row r="22">
          <cell r="L22">
            <v>673255</v>
          </cell>
        </row>
        <row r="23">
          <cell r="L23">
            <v>3259980</v>
          </cell>
        </row>
        <row r="24">
          <cell r="L24">
            <v>832189</v>
          </cell>
        </row>
        <row r="25">
          <cell r="L25">
            <v>4097570</v>
          </cell>
        </row>
        <row r="26">
          <cell r="L26">
            <v>499899</v>
          </cell>
        </row>
        <row r="27">
          <cell r="L27">
            <v>12617413</v>
          </cell>
        </row>
        <row r="28">
          <cell r="L28">
            <v>9755</v>
          </cell>
        </row>
        <row r="29">
          <cell r="L29">
            <v>760</v>
          </cell>
        </row>
        <row r="30">
          <cell r="L30">
            <v>2722288</v>
          </cell>
        </row>
        <row r="31">
          <cell r="L31">
            <v>5559494</v>
          </cell>
        </row>
        <row r="32">
          <cell r="L32">
            <v>41119752</v>
          </cell>
        </row>
        <row r="33">
          <cell r="L33">
            <v>855930</v>
          </cell>
        </row>
        <row r="34">
          <cell r="L34">
            <v>9180273</v>
          </cell>
        </row>
        <row r="35">
          <cell r="L35">
            <v>370236</v>
          </cell>
        </row>
        <row r="36">
          <cell r="L36">
            <v>15817622</v>
          </cell>
        </row>
        <row r="37">
          <cell r="L37">
            <v>40908527</v>
          </cell>
        </row>
        <row r="38">
          <cell r="L38">
            <v>103939785</v>
          </cell>
        </row>
        <row r="39">
          <cell r="L39">
            <v>1663176</v>
          </cell>
        </row>
        <row r="40">
          <cell r="L40">
            <v>1512885</v>
          </cell>
        </row>
        <row r="41">
          <cell r="L41">
            <v>53928735</v>
          </cell>
        </row>
        <row r="42">
          <cell r="L42">
            <v>17634341</v>
          </cell>
        </row>
        <row r="43">
          <cell r="L43">
            <v>9912004</v>
          </cell>
        </row>
        <row r="44">
          <cell r="L44">
            <v>559180455</v>
          </cell>
        </row>
        <row r="45">
          <cell r="L45">
            <v>1596785</v>
          </cell>
        </row>
        <row r="46">
          <cell r="L46">
            <v>78461445</v>
          </cell>
        </row>
      </sheetData>
      <sheetData sheetId="6">
        <row r="23">
          <cell r="C23">
            <v>87717173</v>
          </cell>
        </row>
      </sheetData>
    </sheetDataSet>
  </externalBook>
</externalLink>
</file>

<file path=xl/externalLinks/externalLink234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791187</v>
          </cell>
        </row>
        <row r="5">
          <cell r="L5">
            <v>5686</v>
          </cell>
        </row>
        <row r="6">
          <cell r="L6">
            <v>1544545</v>
          </cell>
        </row>
        <row r="7">
          <cell r="L7">
            <v>6341705</v>
          </cell>
        </row>
        <row r="8">
          <cell r="L8">
            <v>30597882</v>
          </cell>
        </row>
        <row r="9">
          <cell r="L9">
            <v>3819237</v>
          </cell>
        </row>
        <row r="10">
          <cell r="L10">
            <v>375652</v>
          </cell>
        </row>
        <row r="11">
          <cell r="L11">
            <v>2216773</v>
          </cell>
        </row>
        <row r="12">
          <cell r="L12">
            <v>458</v>
          </cell>
        </row>
        <row r="13">
          <cell r="L13">
            <v>0</v>
          </cell>
        </row>
        <row r="14">
          <cell r="L14">
            <v>64715</v>
          </cell>
        </row>
        <row r="15">
          <cell r="L15">
            <v>6372257</v>
          </cell>
        </row>
        <row r="16">
          <cell r="L16">
            <v>90</v>
          </cell>
        </row>
        <row r="17">
          <cell r="L17">
            <v>596029</v>
          </cell>
        </row>
        <row r="18">
          <cell r="L18">
            <v>743494</v>
          </cell>
        </row>
        <row r="19">
          <cell r="L19">
            <v>1789482</v>
          </cell>
        </row>
        <row r="20">
          <cell r="L20">
            <v>2260221</v>
          </cell>
        </row>
        <row r="21">
          <cell r="L21">
            <v>17696135</v>
          </cell>
        </row>
        <row r="22">
          <cell r="L22">
            <v>684785</v>
          </cell>
        </row>
        <row r="23">
          <cell r="L23">
            <v>3218069</v>
          </cell>
        </row>
        <row r="24">
          <cell r="L24">
            <v>819371</v>
          </cell>
        </row>
        <row r="25">
          <cell r="L25">
            <v>3898440</v>
          </cell>
        </row>
        <row r="26">
          <cell r="L26">
            <v>485942</v>
          </cell>
        </row>
        <row r="27">
          <cell r="L27">
            <v>13239416</v>
          </cell>
        </row>
        <row r="28">
          <cell r="L28">
            <v>7238</v>
          </cell>
        </row>
        <row r="29">
          <cell r="L29">
            <v>0</v>
          </cell>
        </row>
        <row r="30">
          <cell r="L30">
            <v>2660267</v>
          </cell>
        </row>
        <row r="31">
          <cell r="L31">
            <v>1867663</v>
          </cell>
        </row>
        <row r="32">
          <cell r="L32">
            <v>51222697</v>
          </cell>
        </row>
        <row r="33">
          <cell r="L33">
            <v>854083</v>
          </cell>
        </row>
        <row r="34">
          <cell r="L34">
            <v>9102798</v>
          </cell>
        </row>
        <row r="35">
          <cell r="L35">
            <v>375825</v>
          </cell>
        </row>
        <row r="36">
          <cell r="L36">
            <v>15463789</v>
          </cell>
        </row>
        <row r="37">
          <cell r="L37">
            <v>39591818</v>
          </cell>
        </row>
        <row r="38">
          <cell r="L38">
            <v>105081225</v>
          </cell>
        </row>
        <row r="39">
          <cell r="L39">
            <v>1594692</v>
          </cell>
        </row>
        <row r="40">
          <cell r="L40">
            <v>1471172</v>
          </cell>
        </row>
        <row r="41">
          <cell r="L41">
            <v>55756876</v>
          </cell>
        </row>
        <row r="42">
          <cell r="L42">
            <v>17411840</v>
          </cell>
        </row>
        <row r="43">
          <cell r="L43">
            <v>9873255</v>
          </cell>
        </row>
        <row r="44">
          <cell r="L44">
            <v>564092257</v>
          </cell>
        </row>
        <row r="45">
          <cell r="L45">
            <v>1570449</v>
          </cell>
        </row>
        <row r="46">
          <cell r="L46">
            <v>80515307</v>
          </cell>
        </row>
      </sheetData>
      <sheetData sheetId="6">
        <row r="23">
          <cell r="C23">
            <v>90264127</v>
          </cell>
        </row>
      </sheetData>
    </sheetDataSet>
  </externalBook>
</externalLink>
</file>

<file path=xl/externalLinks/externalLink235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681620</v>
          </cell>
        </row>
        <row r="5">
          <cell r="L5">
            <v>3096</v>
          </cell>
        </row>
        <row r="6">
          <cell r="L6">
            <v>1545572</v>
          </cell>
        </row>
        <row r="7">
          <cell r="L7">
            <v>1666010</v>
          </cell>
        </row>
        <row r="8">
          <cell r="L8">
            <v>29959086</v>
          </cell>
        </row>
        <row r="9">
          <cell r="L9">
            <v>3701036</v>
          </cell>
        </row>
        <row r="10">
          <cell r="L10">
            <v>288694</v>
          </cell>
        </row>
        <row r="11">
          <cell r="L11">
            <v>1818102</v>
          </cell>
        </row>
        <row r="12">
          <cell r="L12">
            <v>445</v>
          </cell>
        </row>
        <row r="13">
          <cell r="L13">
            <v>0</v>
          </cell>
        </row>
        <row r="14">
          <cell r="L14">
            <v>65053</v>
          </cell>
        </row>
        <row r="15">
          <cell r="L15">
            <v>6035465</v>
          </cell>
        </row>
        <row r="16">
          <cell r="L16">
            <v>90</v>
          </cell>
        </row>
        <row r="17">
          <cell r="L17">
            <v>592586</v>
          </cell>
        </row>
        <row r="18">
          <cell r="L18">
            <v>749111</v>
          </cell>
        </row>
        <row r="19">
          <cell r="L19">
            <v>1645184</v>
          </cell>
        </row>
        <row r="20">
          <cell r="L20">
            <v>2228290</v>
          </cell>
        </row>
        <row r="21">
          <cell r="L21">
            <v>17606428</v>
          </cell>
        </row>
        <row r="22">
          <cell r="L22">
            <v>635123</v>
          </cell>
        </row>
        <row r="23">
          <cell r="L23">
            <v>3376238</v>
          </cell>
        </row>
        <row r="24">
          <cell r="L24">
            <v>800906</v>
          </cell>
        </row>
        <row r="25">
          <cell r="L25">
            <v>3876628</v>
          </cell>
        </row>
        <row r="26">
          <cell r="L26">
            <v>462186</v>
          </cell>
        </row>
        <row r="27">
          <cell r="L27">
            <v>12529741</v>
          </cell>
        </row>
        <row r="28">
          <cell r="L28">
            <v>8511</v>
          </cell>
        </row>
        <row r="29">
          <cell r="L29">
            <v>0</v>
          </cell>
        </row>
        <row r="30">
          <cell r="L30">
            <v>2757508</v>
          </cell>
        </row>
        <row r="31">
          <cell r="L31">
            <v>1867650</v>
          </cell>
        </row>
        <row r="32">
          <cell r="L32">
            <v>50706637</v>
          </cell>
        </row>
        <row r="33">
          <cell r="L33">
            <v>797648</v>
          </cell>
        </row>
        <row r="34">
          <cell r="L34">
            <v>9032327</v>
          </cell>
        </row>
        <row r="35">
          <cell r="L35">
            <v>369166</v>
          </cell>
        </row>
        <row r="36">
          <cell r="L36">
            <v>15864221</v>
          </cell>
        </row>
        <row r="37">
          <cell r="L37">
            <v>39142461</v>
          </cell>
        </row>
        <row r="38">
          <cell r="L38">
            <v>105031711</v>
          </cell>
        </row>
        <row r="39">
          <cell r="L39">
            <v>1616231</v>
          </cell>
        </row>
        <row r="40">
          <cell r="L40">
            <v>1556220</v>
          </cell>
        </row>
        <row r="41">
          <cell r="L41">
            <v>54951372</v>
          </cell>
        </row>
        <row r="42">
          <cell r="L42">
            <v>17421895</v>
          </cell>
        </row>
        <row r="43">
          <cell r="L43">
            <v>9855047</v>
          </cell>
        </row>
        <row r="44">
          <cell r="L44">
            <v>566572182</v>
          </cell>
        </row>
        <row r="45">
          <cell r="L45">
            <v>1522968</v>
          </cell>
        </row>
        <row r="46">
          <cell r="L46">
            <v>82022622</v>
          </cell>
        </row>
      </sheetData>
      <sheetData sheetId="6">
        <row r="23">
          <cell r="C23">
            <v>92589972</v>
          </cell>
        </row>
      </sheetData>
    </sheetDataSet>
  </externalBook>
</externalLink>
</file>

<file path=xl/externalLinks/externalLink236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601662</v>
          </cell>
        </row>
        <row r="5">
          <cell r="L5">
            <v>1796</v>
          </cell>
        </row>
        <row r="6">
          <cell r="L6">
            <v>1544440</v>
          </cell>
        </row>
        <row r="7">
          <cell r="L7">
            <v>3775234</v>
          </cell>
        </row>
        <row r="8">
          <cell r="L8">
            <v>30506625</v>
          </cell>
        </row>
        <row r="9">
          <cell r="L9">
            <v>3699865</v>
          </cell>
        </row>
        <row r="10">
          <cell r="L10">
            <v>376183</v>
          </cell>
        </row>
        <row r="11">
          <cell r="L11">
            <v>1760067</v>
          </cell>
        </row>
        <row r="12">
          <cell r="L12">
            <v>433</v>
          </cell>
        </row>
        <row r="13">
          <cell r="L13">
            <v>0</v>
          </cell>
        </row>
        <row r="14">
          <cell r="L14">
            <v>69429</v>
          </cell>
        </row>
        <row r="15">
          <cell r="L15">
            <v>6235089</v>
          </cell>
        </row>
        <row r="16">
          <cell r="L16">
            <v>90</v>
          </cell>
        </row>
        <row r="17">
          <cell r="L17">
            <v>580991</v>
          </cell>
        </row>
        <row r="18">
          <cell r="L18">
            <v>723697</v>
          </cell>
        </row>
        <row r="19">
          <cell r="L19">
            <v>1850411</v>
          </cell>
        </row>
        <row r="20">
          <cell r="L20">
            <v>2256291</v>
          </cell>
        </row>
        <row r="21">
          <cell r="L21">
            <v>17351346</v>
          </cell>
        </row>
        <row r="22">
          <cell r="L22">
            <v>657288</v>
          </cell>
        </row>
        <row r="23">
          <cell r="L23">
            <v>3369609</v>
          </cell>
        </row>
        <row r="24">
          <cell r="L24">
            <v>789102</v>
          </cell>
        </row>
        <row r="25">
          <cell r="L25">
            <v>3887817</v>
          </cell>
        </row>
        <row r="26">
          <cell r="L26">
            <v>471389</v>
          </cell>
        </row>
        <row r="27">
          <cell r="L27">
            <v>13121779</v>
          </cell>
        </row>
        <row r="28">
          <cell r="L28">
            <v>6261</v>
          </cell>
        </row>
        <row r="29">
          <cell r="L29">
            <v>0</v>
          </cell>
        </row>
        <row r="30">
          <cell r="L30">
            <v>2649392</v>
          </cell>
        </row>
        <row r="31">
          <cell r="L31">
            <v>1906033</v>
          </cell>
        </row>
        <row r="32">
          <cell r="L32">
            <v>51358455</v>
          </cell>
        </row>
        <row r="33">
          <cell r="L33">
            <v>817640</v>
          </cell>
        </row>
        <row r="34">
          <cell r="L34">
            <v>9072194</v>
          </cell>
        </row>
        <row r="35">
          <cell r="L35">
            <v>352988</v>
          </cell>
        </row>
        <row r="36">
          <cell r="L36">
            <v>15799137</v>
          </cell>
        </row>
        <row r="37">
          <cell r="L37">
            <v>38277654</v>
          </cell>
        </row>
        <row r="38">
          <cell r="L38">
            <v>106138928</v>
          </cell>
        </row>
        <row r="39">
          <cell r="L39">
            <v>1590428</v>
          </cell>
        </row>
        <row r="40">
          <cell r="L40">
            <v>1562201</v>
          </cell>
        </row>
        <row r="41">
          <cell r="L41">
            <v>54864608</v>
          </cell>
        </row>
        <row r="42">
          <cell r="L42">
            <v>17924295</v>
          </cell>
        </row>
        <row r="43">
          <cell r="L43">
            <v>11076094</v>
          </cell>
        </row>
        <row r="44">
          <cell r="L44">
            <v>573241005</v>
          </cell>
        </row>
        <row r="45">
          <cell r="L45">
            <v>1497641</v>
          </cell>
        </row>
        <row r="46">
          <cell r="L46">
            <v>84364025</v>
          </cell>
        </row>
      </sheetData>
      <sheetData sheetId="6">
        <row r="23">
          <cell r="C23">
            <v>90505988</v>
          </cell>
        </row>
      </sheetData>
    </sheetDataSet>
  </externalBook>
</externalLink>
</file>

<file path=xl/externalLinks/externalLink237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876736</v>
          </cell>
        </row>
        <row r="5">
          <cell r="L5">
            <v>490</v>
          </cell>
        </row>
        <row r="6">
          <cell r="L6">
            <v>1522375</v>
          </cell>
        </row>
        <row r="7">
          <cell r="L7">
            <v>7337880</v>
          </cell>
        </row>
        <row r="8">
          <cell r="L8">
            <v>33213503</v>
          </cell>
        </row>
        <row r="9">
          <cell r="L9">
            <v>3581332</v>
          </cell>
        </row>
        <row r="10">
          <cell r="L10">
            <v>465658</v>
          </cell>
        </row>
        <row r="11">
          <cell r="L11">
            <v>1693218</v>
          </cell>
        </row>
        <row r="12">
          <cell r="L12">
            <v>420</v>
          </cell>
        </row>
        <row r="13">
          <cell r="L13">
            <v>0</v>
          </cell>
        </row>
        <row r="14">
          <cell r="L14">
            <v>93605</v>
          </cell>
        </row>
        <row r="15">
          <cell r="L15">
            <v>6033635</v>
          </cell>
        </row>
        <row r="16">
          <cell r="L16">
            <v>107</v>
          </cell>
        </row>
        <row r="17">
          <cell r="L17">
            <v>560714</v>
          </cell>
        </row>
        <row r="18">
          <cell r="L18">
            <v>752876</v>
          </cell>
        </row>
        <row r="19">
          <cell r="L19">
            <v>1885297</v>
          </cell>
        </row>
        <row r="20">
          <cell r="L20">
            <v>2250254</v>
          </cell>
        </row>
        <row r="21">
          <cell r="L21">
            <v>16378960</v>
          </cell>
        </row>
        <row r="22">
          <cell r="L22">
            <v>641516</v>
          </cell>
        </row>
        <row r="23">
          <cell r="L23">
            <v>3344341</v>
          </cell>
        </row>
        <row r="24">
          <cell r="L24">
            <v>783904</v>
          </cell>
        </row>
        <row r="25">
          <cell r="L25">
            <v>3986499</v>
          </cell>
        </row>
        <row r="26">
          <cell r="L26">
            <v>474742</v>
          </cell>
        </row>
        <row r="27">
          <cell r="L27">
            <v>13074872</v>
          </cell>
        </row>
        <row r="28">
          <cell r="L28">
            <v>3109</v>
          </cell>
        </row>
        <row r="29">
          <cell r="L29">
            <v>0</v>
          </cell>
        </row>
        <row r="30">
          <cell r="L30">
            <v>2560589</v>
          </cell>
        </row>
        <row r="31">
          <cell r="L31">
            <v>1914297</v>
          </cell>
        </row>
        <row r="32">
          <cell r="L32">
            <v>51561988</v>
          </cell>
        </row>
        <row r="33">
          <cell r="L33">
            <v>783922</v>
          </cell>
        </row>
        <row r="34">
          <cell r="L34">
            <v>9051791</v>
          </cell>
        </row>
        <row r="35">
          <cell r="L35">
            <v>347737</v>
          </cell>
        </row>
        <row r="36">
          <cell r="L36">
            <v>15653605</v>
          </cell>
        </row>
        <row r="37">
          <cell r="L37">
            <v>37869088</v>
          </cell>
        </row>
        <row r="38">
          <cell r="L38">
            <v>109995168</v>
          </cell>
        </row>
        <row r="39">
          <cell r="L39">
            <v>1587632</v>
          </cell>
        </row>
        <row r="40">
          <cell r="L40">
            <v>1537323</v>
          </cell>
        </row>
        <row r="41">
          <cell r="L41">
            <v>58620264</v>
          </cell>
        </row>
        <row r="42">
          <cell r="L42">
            <v>18090767</v>
          </cell>
        </row>
        <row r="43">
          <cell r="L43">
            <v>10486071</v>
          </cell>
        </row>
        <row r="44">
          <cell r="L44">
            <v>579993670</v>
          </cell>
        </row>
        <row r="45">
          <cell r="L45">
            <v>1509409</v>
          </cell>
        </row>
        <row r="46">
          <cell r="L46">
            <v>83253513</v>
          </cell>
        </row>
      </sheetData>
      <sheetData sheetId="6">
        <row r="23">
          <cell r="C23">
            <v>90892471</v>
          </cell>
        </row>
      </sheetData>
    </sheetDataSet>
  </externalBook>
</externalLink>
</file>

<file path=xl/externalLinks/externalLink238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575562</v>
          </cell>
        </row>
        <row r="5">
          <cell r="L5">
            <v>9</v>
          </cell>
        </row>
        <row r="6">
          <cell r="L6">
            <v>1522091</v>
          </cell>
        </row>
        <row r="7">
          <cell r="L7">
            <v>6931498</v>
          </cell>
        </row>
        <row r="8">
          <cell r="L8">
            <v>31895674</v>
          </cell>
        </row>
        <row r="9">
          <cell r="L9">
            <v>3580564</v>
          </cell>
        </row>
        <row r="10">
          <cell r="L10">
            <v>231130</v>
          </cell>
        </row>
        <row r="11">
          <cell r="L11">
            <v>1694239</v>
          </cell>
        </row>
        <row r="12">
          <cell r="L12">
            <v>543</v>
          </cell>
        </row>
        <row r="13">
          <cell r="L13">
            <v>0</v>
          </cell>
        </row>
        <row r="14">
          <cell r="L14">
            <v>92919</v>
          </cell>
        </row>
        <row r="15">
          <cell r="L15">
            <v>5831963</v>
          </cell>
        </row>
        <row r="16">
          <cell r="L16">
            <v>184</v>
          </cell>
        </row>
        <row r="17">
          <cell r="L17">
            <v>563010</v>
          </cell>
        </row>
        <row r="18">
          <cell r="L18">
            <v>750844</v>
          </cell>
        </row>
        <row r="19">
          <cell r="L19">
            <v>2020074</v>
          </cell>
        </row>
        <row r="20">
          <cell r="L20">
            <v>2252659</v>
          </cell>
        </row>
        <row r="21">
          <cell r="L21">
            <v>16505214</v>
          </cell>
        </row>
        <row r="22">
          <cell r="L22">
            <v>652010</v>
          </cell>
        </row>
        <row r="23">
          <cell r="L23">
            <v>3368462</v>
          </cell>
        </row>
        <row r="24">
          <cell r="L24">
            <v>731810</v>
          </cell>
        </row>
        <row r="25">
          <cell r="L25">
            <v>3915664</v>
          </cell>
        </row>
        <row r="26">
          <cell r="L26">
            <v>452493</v>
          </cell>
        </row>
        <row r="27">
          <cell r="L27">
            <v>12681675</v>
          </cell>
        </row>
        <row r="28">
          <cell r="L28">
            <v>1941</v>
          </cell>
        </row>
        <row r="29">
          <cell r="L29">
            <v>0</v>
          </cell>
        </row>
        <row r="30">
          <cell r="L30">
            <v>2505850</v>
          </cell>
        </row>
        <row r="31">
          <cell r="L31">
            <v>1933558</v>
          </cell>
        </row>
        <row r="32">
          <cell r="L32">
            <v>53196293</v>
          </cell>
        </row>
        <row r="33">
          <cell r="L33">
            <v>784684</v>
          </cell>
        </row>
        <row r="34">
          <cell r="L34">
            <v>8872167</v>
          </cell>
        </row>
        <row r="35">
          <cell r="L35">
            <v>346357</v>
          </cell>
        </row>
        <row r="36">
          <cell r="L36">
            <v>18579098</v>
          </cell>
        </row>
        <row r="37">
          <cell r="L37">
            <v>37177692</v>
          </cell>
        </row>
        <row r="38">
          <cell r="L38">
            <v>112039956</v>
          </cell>
        </row>
        <row r="39">
          <cell r="L39">
            <v>1733559</v>
          </cell>
        </row>
        <row r="40">
          <cell r="L40">
            <v>1544735</v>
          </cell>
        </row>
        <row r="41">
          <cell r="L41">
            <v>58300921</v>
          </cell>
        </row>
        <row r="42">
          <cell r="L42">
            <v>18092113</v>
          </cell>
        </row>
        <row r="43">
          <cell r="L43">
            <v>10624162</v>
          </cell>
        </row>
        <row r="44">
          <cell r="L44">
            <v>584469318</v>
          </cell>
        </row>
        <row r="45">
          <cell r="L45">
            <v>1452103</v>
          </cell>
        </row>
        <row r="46">
          <cell r="L46">
            <v>82449403</v>
          </cell>
        </row>
      </sheetData>
      <sheetData sheetId="6">
        <row r="23">
          <cell r="C23">
            <v>92182133</v>
          </cell>
        </row>
      </sheetData>
    </sheetDataSet>
  </externalBook>
</externalLink>
</file>

<file path=xl/externalLinks/externalLink239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820977</v>
          </cell>
        </row>
        <row r="5">
          <cell r="L5">
            <v>39</v>
          </cell>
        </row>
        <row r="6">
          <cell r="L6">
            <v>1522941</v>
          </cell>
        </row>
        <row r="7">
          <cell r="L7">
            <v>6856464</v>
          </cell>
        </row>
        <row r="8">
          <cell r="L8">
            <v>30406378</v>
          </cell>
        </row>
        <row r="9">
          <cell r="L9">
            <v>3579522</v>
          </cell>
        </row>
        <row r="10">
          <cell r="L10">
            <v>278457</v>
          </cell>
        </row>
        <row r="11">
          <cell r="L11">
            <v>1695510</v>
          </cell>
        </row>
        <row r="12">
          <cell r="L12">
            <v>528</v>
          </cell>
        </row>
        <row r="13">
          <cell r="L13">
            <v>0</v>
          </cell>
        </row>
        <row r="14">
          <cell r="L14">
            <v>66765</v>
          </cell>
        </row>
        <row r="15">
          <cell r="L15">
            <v>4959060</v>
          </cell>
        </row>
        <row r="16">
          <cell r="L16">
            <v>90</v>
          </cell>
        </row>
        <row r="17">
          <cell r="L17">
            <v>587128</v>
          </cell>
        </row>
        <row r="18">
          <cell r="L18">
            <v>818407</v>
          </cell>
        </row>
        <row r="19">
          <cell r="L19">
            <v>2091417</v>
          </cell>
        </row>
        <row r="20">
          <cell r="L20">
            <v>2298423</v>
          </cell>
        </row>
        <row r="21">
          <cell r="L21">
            <v>16500746</v>
          </cell>
        </row>
        <row r="22">
          <cell r="L22">
            <v>693086</v>
          </cell>
        </row>
        <row r="23">
          <cell r="L23">
            <v>3412323</v>
          </cell>
        </row>
        <row r="24">
          <cell r="L24">
            <v>723034</v>
          </cell>
        </row>
        <row r="25">
          <cell r="L25">
            <v>5434649</v>
          </cell>
        </row>
        <row r="26">
          <cell r="L26">
            <v>459926</v>
          </cell>
        </row>
        <row r="27">
          <cell r="L27">
            <v>12609936</v>
          </cell>
        </row>
        <row r="28">
          <cell r="L28">
            <v>2216</v>
          </cell>
        </row>
        <row r="29">
          <cell r="L29">
            <v>0</v>
          </cell>
        </row>
        <row r="30">
          <cell r="L30">
            <v>2512327</v>
          </cell>
        </row>
        <row r="31">
          <cell r="L31">
            <v>1899195</v>
          </cell>
        </row>
        <row r="32">
          <cell r="L32">
            <v>53024750</v>
          </cell>
        </row>
        <row r="33">
          <cell r="L33">
            <v>727402</v>
          </cell>
        </row>
        <row r="34">
          <cell r="L34">
            <v>8876075</v>
          </cell>
        </row>
        <row r="35">
          <cell r="L35">
            <v>348911</v>
          </cell>
        </row>
        <row r="36">
          <cell r="L36">
            <v>18682857</v>
          </cell>
        </row>
        <row r="37">
          <cell r="L37">
            <v>37140223</v>
          </cell>
        </row>
        <row r="38">
          <cell r="L38">
            <v>110777941</v>
          </cell>
        </row>
        <row r="39">
          <cell r="L39">
            <v>1677784</v>
          </cell>
        </row>
        <row r="40">
          <cell r="L40">
            <v>1564596</v>
          </cell>
        </row>
        <row r="41">
          <cell r="L41">
            <v>60930628</v>
          </cell>
        </row>
        <row r="42">
          <cell r="L42">
            <v>18687852</v>
          </cell>
        </row>
        <row r="43">
          <cell r="L43">
            <v>11005543</v>
          </cell>
        </row>
        <row r="44">
          <cell r="L44">
            <v>587925480</v>
          </cell>
        </row>
        <row r="45">
          <cell r="L45">
            <v>1208429</v>
          </cell>
        </row>
        <row r="46">
          <cell r="L46">
            <v>83621707</v>
          </cell>
        </row>
      </sheetData>
      <sheetData sheetId="6">
        <row r="23">
          <cell r="C23">
            <v>93438487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12loa"/>
    </sheetNames>
    <sheetDataSet>
      <sheetData sheetId="0">
        <row r="10">
          <cell r="I10">
            <v>4989813</v>
          </cell>
        </row>
        <row r="19">
          <cell r="I19">
            <v>496348</v>
          </cell>
        </row>
        <row r="23">
          <cell r="I23">
            <v>27124</v>
          </cell>
        </row>
        <row r="25">
          <cell r="J25">
            <v>554751</v>
          </cell>
        </row>
        <row r="30">
          <cell r="I30">
            <v>194412</v>
          </cell>
        </row>
        <row r="31">
          <cell r="I31">
            <v>2018274</v>
          </cell>
        </row>
        <row r="32">
          <cell r="I32">
            <v>3</v>
          </cell>
        </row>
        <row r="33">
          <cell r="I33">
            <v>117892</v>
          </cell>
        </row>
        <row r="34">
          <cell r="I34">
            <v>162942</v>
          </cell>
        </row>
        <row r="35">
          <cell r="I35">
            <v>650363</v>
          </cell>
        </row>
        <row r="36">
          <cell r="I36">
            <v>233426</v>
          </cell>
        </row>
        <row r="37">
          <cell r="I37">
            <v>945184</v>
          </cell>
        </row>
        <row r="38">
          <cell r="I38">
            <v>334189</v>
          </cell>
        </row>
        <row r="39">
          <cell r="I39">
            <v>3178265</v>
          </cell>
        </row>
        <row r="42">
          <cell r="I42">
            <v>20534871</v>
          </cell>
        </row>
        <row r="43">
          <cell r="I43">
            <v>595092</v>
          </cell>
        </row>
        <row r="44">
          <cell r="I44">
            <v>165825</v>
          </cell>
        </row>
        <row r="46">
          <cell r="J46">
            <v>1142043</v>
          </cell>
        </row>
        <row r="49">
          <cell r="I49">
            <v>4536008</v>
          </cell>
        </row>
        <row r="50">
          <cell r="I50">
            <v>518412</v>
          </cell>
        </row>
        <row r="51">
          <cell r="I51">
            <v>6734666</v>
          </cell>
        </row>
        <row r="53">
          <cell r="J53">
            <v>5367924</v>
          </cell>
        </row>
        <row r="56">
          <cell r="I56">
            <v>9806846</v>
          </cell>
        </row>
        <row r="57">
          <cell r="I57">
            <v>39</v>
          </cell>
        </row>
        <row r="58">
          <cell r="I58">
            <v>13102482</v>
          </cell>
        </row>
        <row r="59">
          <cell r="I59">
            <v>769065</v>
          </cell>
        </row>
        <row r="61">
          <cell r="J61">
            <v>33084319</v>
          </cell>
        </row>
        <row r="63">
          <cell r="J63">
            <v>30620435</v>
          </cell>
        </row>
        <row r="65">
          <cell r="J65">
            <v>675564</v>
          </cell>
        </row>
        <row r="67">
          <cell r="J67">
            <v>16492678</v>
          </cell>
        </row>
        <row r="73">
          <cell r="J73">
            <v>102981163</v>
          </cell>
        </row>
        <row r="77">
          <cell r="J77">
            <v>7447408</v>
          </cell>
        </row>
      </sheetData>
    </sheetDataSet>
  </externalBook>
</externalLink>
</file>

<file path=xl/externalLinks/externalLink240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987369</v>
          </cell>
        </row>
        <row r="5">
          <cell r="L5">
            <v>41</v>
          </cell>
        </row>
        <row r="6">
          <cell r="L6">
            <v>1499697</v>
          </cell>
        </row>
        <row r="7">
          <cell r="L7">
            <v>6421020</v>
          </cell>
        </row>
        <row r="8">
          <cell r="L8">
            <v>30381127</v>
          </cell>
        </row>
        <row r="9">
          <cell r="L9">
            <v>3461260</v>
          </cell>
        </row>
        <row r="10">
          <cell r="L10">
            <v>315940</v>
          </cell>
        </row>
        <row r="11">
          <cell r="L11">
            <v>1642184</v>
          </cell>
        </row>
        <row r="12">
          <cell r="L12">
            <v>913</v>
          </cell>
        </row>
        <row r="13">
          <cell r="L13">
            <v>0</v>
          </cell>
        </row>
        <row r="14">
          <cell r="L14">
            <v>65551</v>
          </cell>
        </row>
        <row r="15">
          <cell r="L15">
            <v>4793203</v>
          </cell>
        </row>
        <row r="16">
          <cell r="L16">
            <v>13876</v>
          </cell>
        </row>
        <row r="17">
          <cell r="L17">
            <v>580760</v>
          </cell>
        </row>
        <row r="18">
          <cell r="L18">
            <v>819878</v>
          </cell>
        </row>
        <row r="19">
          <cell r="L19">
            <v>1854182</v>
          </cell>
        </row>
        <row r="20">
          <cell r="L20">
            <v>2282623</v>
          </cell>
        </row>
        <row r="21">
          <cell r="L21">
            <v>14716857</v>
          </cell>
        </row>
        <row r="22">
          <cell r="L22">
            <v>670951</v>
          </cell>
        </row>
        <row r="23">
          <cell r="L23">
            <v>3448351</v>
          </cell>
        </row>
        <row r="24">
          <cell r="L24">
            <v>717399</v>
          </cell>
        </row>
        <row r="25">
          <cell r="L25">
            <v>5450905</v>
          </cell>
        </row>
        <row r="26">
          <cell r="L26">
            <v>469110</v>
          </cell>
        </row>
        <row r="27">
          <cell r="L27">
            <v>12640753</v>
          </cell>
        </row>
        <row r="28">
          <cell r="L28">
            <v>1626</v>
          </cell>
        </row>
        <row r="29">
          <cell r="L29">
            <v>0</v>
          </cell>
        </row>
        <row r="30">
          <cell r="L30">
            <v>2478497</v>
          </cell>
        </row>
        <row r="31">
          <cell r="L31">
            <v>1933812</v>
          </cell>
        </row>
        <row r="32">
          <cell r="L32">
            <v>53675894</v>
          </cell>
        </row>
        <row r="33">
          <cell r="L33">
            <v>713477</v>
          </cell>
        </row>
        <row r="34">
          <cell r="L34">
            <v>9118988</v>
          </cell>
        </row>
        <row r="35">
          <cell r="L35">
            <v>347351</v>
          </cell>
        </row>
        <row r="36">
          <cell r="L36">
            <v>16764045</v>
          </cell>
        </row>
        <row r="37">
          <cell r="L37">
            <v>36637514</v>
          </cell>
        </row>
        <row r="38">
          <cell r="L38">
            <v>114063239</v>
          </cell>
        </row>
        <row r="39">
          <cell r="L39">
            <v>1771959</v>
          </cell>
        </row>
        <row r="40">
          <cell r="L40">
            <v>1551552</v>
          </cell>
        </row>
        <row r="41">
          <cell r="L41">
            <v>63172067</v>
          </cell>
        </row>
        <row r="42">
          <cell r="L42">
            <v>18869683</v>
          </cell>
        </row>
        <row r="43">
          <cell r="L43">
            <v>10745474</v>
          </cell>
        </row>
        <row r="44">
          <cell r="L44">
            <v>594174948</v>
          </cell>
        </row>
        <row r="45">
          <cell r="L45">
            <v>1633411</v>
          </cell>
        </row>
        <row r="46">
          <cell r="L46">
            <v>82672925</v>
          </cell>
        </row>
      </sheetData>
      <sheetData sheetId="6">
        <row r="23">
          <cell r="C23">
            <v>94929457</v>
          </cell>
        </row>
      </sheetData>
    </sheetDataSet>
  </externalBook>
</externalLink>
</file>

<file path=xl/externalLinks/externalLink241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903737</v>
          </cell>
        </row>
        <row r="5">
          <cell r="L5">
            <v>44</v>
          </cell>
        </row>
        <row r="6">
          <cell r="L6">
            <v>1498347</v>
          </cell>
        </row>
        <row r="7">
          <cell r="L7">
            <v>7125172</v>
          </cell>
        </row>
        <row r="8">
          <cell r="L8">
            <v>30031286</v>
          </cell>
        </row>
        <row r="9">
          <cell r="L9">
            <v>3460202</v>
          </cell>
        </row>
        <row r="10">
          <cell r="L10">
            <v>416189</v>
          </cell>
        </row>
        <row r="11">
          <cell r="L11">
            <v>1640982</v>
          </cell>
        </row>
        <row r="12">
          <cell r="L12">
            <v>836</v>
          </cell>
        </row>
        <row r="13">
          <cell r="L13">
            <v>0</v>
          </cell>
        </row>
        <row r="14">
          <cell r="L14">
            <v>63594</v>
          </cell>
        </row>
        <row r="15">
          <cell r="L15">
            <v>4934316</v>
          </cell>
        </row>
        <row r="16">
          <cell r="L16">
            <v>13876</v>
          </cell>
        </row>
        <row r="17">
          <cell r="L17">
            <v>589254</v>
          </cell>
        </row>
        <row r="18">
          <cell r="L18">
            <v>849891</v>
          </cell>
        </row>
        <row r="19">
          <cell r="L19">
            <v>1908612</v>
          </cell>
        </row>
        <row r="20">
          <cell r="L20">
            <v>5043607</v>
          </cell>
        </row>
        <row r="21">
          <cell r="L21">
            <v>15118459</v>
          </cell>
        </row>
        <row r="22">
          <cell r="L22">
            <v>669019</v>
          </cell>
        </row>
        <row r="23">
          <cell r="L23">
            <v>3300584</v>
          </cell>
        </row>
        <row r="24">
          <cell r="L24">
            <v>662278</v>
          </cell>
        </row>
        <row r="25">
          <cell r="L25">
            <v>5412024</v>
          </cell>
        </row>
        <row r="26">
          <cell r="L26">
            <v>473554</v>
          </cell>
        </row>
        <row r="27">
          <cell r="L27">
            <v>12256403</v>
          </cell>
        </row>
        <row r="28">
          <cell r="L28">
            <v>956</v>
          </cell>
        </row>
        <row r="29">
          <cell r="L29">
            <v>0</v>
          </cell>
        </row>
        <row r="30">
          <cell r="L30">
            <v>2481509</v>
          </cell>
        </row>
        <row r="31">
          <cell r="L31">
            <v>2047706</v>
          </cell>
        </row>
        <row r="32">
          <cell r="L32">
            <v>54853231</v>
          </cell>
        </row>
        <row r="33">
          <cell r="L33">
            <v>653277</v>
          </cell>
        </row>
        <row r="34">
          <cell r="L34">
            <v>9119489</v>
          </cell>
        </row>
        <row r="35">
          <cell r="L35">
            <v>347654</v>
          </cell>
        </row>
        <row r="36">
          <cell r="L36">
            <v>16844797</v>
          </cell>
        </row>
        <row r="37">
          <cell r="L37">
            <v>35739112</v>
          </cell>
        </row>
        <row r="38">
          <cell r="L38">
            <v>116156192</v>
          </cell>
        </row>
        <row r="39">
          <cell r="L39">
            <v>1842731</v>
          </cell>
        </row>
        <row r="40">
          <cell r="L40">
            <v>1543653</v>
          </cell>
        </row>
        <row r="41">
          <cell r="L41">
            <v>64115201</v>
          </cell>
        </row>
        <row r="42">
          <cell r="L42">
            <v>19056146</v>
          </cell>
        </row>
        <row r="43">
          <cell r="L43">
            <v>10705072</v>
          </cell>
        </row>
        <row r="44">
          <cell r="L44">
            <v>602256298</v>
          </cell>
        </row>
        <row r="45">
          <cell r="L45">
            <v>1638560</v>
          </cell>
        </row>
        <row r="46">
          <cell r="L46">
            <v>79153874</v>
          </cell>
        </row>
      </sheetData>
      <sheetData sheetId="6">
        <row r="23">
          <cell r="C23">
            <v>94667816</v>
          </cell>
        </row>
      </sheetData>
    </sheetDataSet>
  </externalBook>
</externalLink>
</file>

<file path=xl/externalLinks/externalLink242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1019758</v>
          </cell>
        </row>
        <row r="5">
          <cell r="L5">
            <v>46</v>
          </cell>
        </row>
        <row r="6">
          <cell r="L6">
            <v>1499081</v>
          </cell>
        </row>
        <row r="7">
          <cell r="L7">
            <v>2811123</v>
          </cell>
        </row>
        <row r="8">
          <cell r="L8">
            <v>29523245</v>
          </cell>
        </row>
        <row r="9">
          <cell r="L9">
            <v>3459135</v>
          </cell>
        </row>
        <row r="10">
          <cell r="L10">
            <v>413401</v>
          </cell>
        </row>
        <row r="11">
          <cell r="L11">
            <v>1640465</v>
          </cell>
        </row>
        <row r="12">
          <cell r="L12">
            <v>780</v>
          </cell>
        </row>
        <row r="13">
          <cell r="L13">
            <v>0</v>
          </cell>
        </row>
        <row r="14">
          <cell r="L14">
            <v>64972</v>
          </cell>
        </row>
        <row r="15">
          <cell r="L15">
            <v>4797809</v>
          </cell>
        </row>
        <row r="16">
          <cell r="L16">
            <v>14201</v>
          </cell>
        </row>
        <row r="17">
          <cell r="L17">
            <v>592705</v>
          </cell>
        </row>
        <row r="18">
          <cell r="L18">
            <v>875120</v>
          </cell>
        </row>
        <row r="19">
          <cell r="L19">
            <v>1876766</v>
          </cell>
        </row>
        <row r="20">
          <cell r="L20">
            <v>5015993</v>
          </cell>
        </row>
        <row r="21">
          <cell r="L21">
            <v>15289274</v>
          </cell>
        </row>
        <row r="22">
          <cell r="L22">
            <v>692684</v>
          </cell>
        </row>
        <row r="23">
          <cell r="L23">
            <v>3305705</v>
          </cell>
        </row>
        <row r="24">
          <cell r="L24">
            <v>851406</v>
          </cell>
        </row>
        <row r="25">
          <cell r="L25">
            <v>5730597</v>
          </cell>
        </row>
        <row r="26">
          <cell r="L26">
            <v>458805</v>
          </cell>
        </row>
        <row r="27">
          <cell r="L27">
            <v>12318413</v>
          </cell>
        </row>
        <row r="28">
          <cell r="L28">
            <v>655</v>
          </cell>
        </row>
        <row r="29">
          <cell r="L29">
            <v>0</v>
          </cell>
        </row>
        <row r="30">
          <cell r="L30">
            <v>2467769</v>
          </cell>
        </row>
        <row r="31">
          <cell r="L31">
            <v>2068022</v>
          </cell>
        </row>
        <row r="32">
          <cell r="L32">
            <v>55986044</v>
          </cell>
        </row>
        <row r="33">
          <cell r="L33">
            <v>639485</v>
          </cell>
        </row>
        <row r="34">
          <cell r="L34">
            <v>9063335</v>
          </cell>
        </row>
        <row r="35">
          <cell r="L35">
            <v>347305</v>
          </cell>
        </row>
        <row r="36">
          <cell r="L36">
            <v>16564568</v>
          </cell>
        </row>
        <row r="37">
          <cell r="L37">
            <v>35468570</v>
          </cell>
        </row>
        <row r="38">
          <cell r="L38">
            <v>116357238</v>
          </cell>
        </row>
        <row r="39">
          <cell r="L39">
            <v>1788670</v>
          </cell>
        </row>
        <row r="40">
          <cell r="L40">
            <v>1573070</v>
          </cell>
        </row>
        <row r="41">
          <cell r="L41">
            <v>64968268</v>
          </cell>
        </row>
        <row r="42">
          <cell r="L42">
            <v>19045215</v>
          </cell>
        </row>
        <row r="43">
          <cell r="L43">
            <v>10903304</v>
          </cell>
        </row>
        <row r="44">
          <cell r="L44">
            <v>607069098</v>
          </cell>
        </row>
        <row r="45">
          <cell r="L45">
            <v>1654242</v>
          </cell>
        </row>
        <row r="46">
          <cell r="L46">
            <v>78543599</v>
          </cell>
        </row>
      </sheetData>
      <sheetData sheetId="6">
        <row r="23">
          <cell r="C23">
            <v>94952529</v>
          </cell>
        </row>
      </sheetData>
    </sheetDataSet>
  </externalBook>
</externalLink>
</file>

<file path=xl/externalLinks/externalLink243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826154</v>
          </cell>
        </row>
        <row r="5">
          <cell r="L5">
            <v>49</v>
          </cell>
        </row>
        <row r="6">
          <cell r="L6">
            <v>1475986</v>
          </cell>
        </row>
        <row r="7">
          <cell r="L7">
            <v>5446086</v>
          </cell>
        </row>
        <row r="8">
          <cell r="L8">
            <v>33226113</v>
          </cell>
        </row>
        <row r="9">
          <cell r="L9">
            <v>3458035</v>
          </cell>
        </row>
        <row r="10">
          <cell r="L10">
            <v>416906</v>
          </cell>
        </row>
        <row r="11">
          <cell r="L11">
            <v>1578775</v>
          </cell>
        </row>
        <row r="12">
          <cell r="L12">
            <v>718</v>
          </cell>
        </row>
        <row r="13">
          <cell r="L13">
            <v>0</v>
          </cell>
        </row>
        <row r="14">
          <cell r="L14">
            <v>74671</v>
          </cell>
        </row>
        <row r="15">
          <cell r="L15">
            <v>4822317</v>
          </cell>
        </row>
        <row r="16">
          <cell r="L16">
            <v>13876</v>
          </cell>
        </row>
        <row r="17">
          <cell r="L17">
            <v>579999</v>
          </cell>
        </row>
        <row r="18">
          <cell r="L18">
            <v>935967</v>
          </cell>
        </row>
        <row r="19">
          <cell r="L19">
            <v>1941278</v>
          </cell>
        </row>
        <row r="20">
          <cell r="L20">
            <v>5016047</v>
          </cell>
        </row>
        <row r="21">
          <cell r="L21">
            <v>15641914</v>
          </cell>
        </row>
        <row r="22">
          <cell r="L22">
            <v>648370</v>
          </cell>
        </row>
        <row r="23">
          <cell r="L23">
            <v>3303658</v>
          </cell>
        </row>
        <row r="24">
          <cell r="L24">
            <v>772473</v>
          </cell>
        </row>
        <row r="25">
          <cell r="L25">
            <v>5523949</v>
          </cell>
        </row>
        <row r="26">
          <cell r="L26">
            <v>464469</v>
          </cell>
        </row>
        <row r="27">
          <cell r="L27">
            <v>12839255</v>
          </cell>
        </row>
        <row r="28">
          <cell r="L28">
            <v>469</v>
          </cell>
        </row>
        <row r="29">
          <cell r="L29">
            <v>0</v>
          </cell>
        </row>
        <row r="30">
          <cell r="L30">
            <v>2454374</v>
          </cell>
        </row>
        <row r="31">
          <cell r="L31">
            <v>5607015</v>
          </cell>
        </row>
        <row r="32">
          <cell r="L32">
            <v>56017614</v>
          </cell>
        </row>
        <row r="33">
          <cell r="L33">
            <v>639345</v>
          </cell>
        </row>
        <row r="34">
          <cell r="L34">
            <v>9085444</v>
          </cell>
        </row>
        <row r="35">
          <cell r="L35">
            <v>348941</v>
          </cell>
        </row>
        <row r="36">
          <cell r="L36">
            <v>21519385</v>
          </cell>
        </row>
        <row r="37">
          <cell r="L37">
            <v>35359474</v>
          </cell>
        </row>
        <row r="38">
          <cell r="L38">
            <v>116162330</v>
          </cell>
        </row>
        <row r="39">
          <cell r="L39">
            <v>1716891</v>
          </cell>
        </row>
        <row r="40">
          <cell r="L40">
            <v>1555061</v>
          </cell>
        </row>
        <row r="41">
          <cell r="L41">
            <v>68395156</v>
          </cell>
        </row>
        <row r="42">
          <cell r="L42">
            <v>19324674</v>
          </cell>
        </row>
        <row r="43">
          <cell r="L43">
            <v>10758174</v>
          </cell>
        </row>
        <row r="44">
          <cell r="L44">
            <v>616929060</v>
          </cell>
        </row>
        <row r="45">
          <cell r="L45">
            <v>1653276</v>
          </cell>
        </row>
        <row r="46">
          <cell r="L46">
            <v>82589093</v>
          </cell>
        </row>
      </sheetData>
      <sheetData sheetId="6">
        <row r="23">
          <cell r="C23">
            <v>94939770</v>
          </cell>
        </row>
      </sheetData>
    </sheetDataSet>
  </externalBook>
</externalLink>
</file>

<file path=xl/externalLinks/externalLink244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809581</v>
          </cell>
        </row>
        <row r="5">
          <cell r="L5">
            <v>56</v>
          </cell>
        </row>
        <row r="6">
          <cell r="L6">
            <v>1475591</v>
          </cell>
        </row>
        <row r="7">
          <cell r="L7">
            <v>5670642</v>
          </cell>
        </row>
        <row r="8">
          <cell r="L8">
            <v>37115066</v>
          </cell>
        </row>
        <row r="9">
          <cell r="L9">
            <v>3339873</v>
          </cell>
        </row>
        <row r="10">
          <cell r="L10">
            <v>417624</v>
          </cell>
        </row>
        <row r="11">
          <cell r="L11">
            <v>1577575</v>
          </cell>
        </row>
        <row r="12">
          <cell r="L12">
            <v>647</v>
          </cell>
        </row>
        <row r="13">
          <cell r="L13">
            <v>0</v>
          </cell>
        </row>
        <row r="14">
          <cell r="L14">
            <v>75727</v>
          </cell>
        </row>
        <row r="15">
          <cell r="L15">
            <v>4730512</v>
          </cell>
        </row>
        <row r="16">
          <cell r="L16">
            <v>13992</v>
          </cell>
        </row>
        <row r="17">
          <cell r="L17">
            <v>566892</v>
          </cell>
        </row>
        <row r="18">
          <cell r="L18">
            <v>950033</v>
          </cell>
        </row>
        <row r="19">
          <cell r="L19">
            <v>1890500</v>
          </cell>
        </row>
        <row r="20">
          <cell r="L20">
            <v>5108813</v>
          </cell>
        </row>
        <row r="21">
          <cell r="L21">
            <v>13161046</v>
          </cell>
        </row>
        <row r="22">
          <cell r="L22">
            <v>640115</v>
          </cell>
        </row>
        <row r="23">
          <cell r="L23">
            <v>3280245</v>
          </cell>
        </row>
        <row r="24">
          <cell r="L24">
            <v>764777</v>
          </cell>
        </row>
        <row r="25">
          <cell r="L25">
            <v>5623141</v>
          </cell>
        </row>
        <row r="26">
          <cell r="L26">
            <v>456609</v>
          </cell>
        </row>
        <row r="27">
          <cell r="L27">
            <v>11882014</v>
          </cell>
        </row>
        <row r="28">
          <cell r="L28">
            <v>847</v>
          </cell>
        </row>
        <row r="29">
          <cell r="L29">
            <v>0</v>
          </cell>
        </row>
        <row r="30">
          <cell r="L30">
            <v>2430959</v>
          </cell>
        </row>
        <row r="31">
          <cell r="L31">
            <v>5598061</v>
          </cell>
        </row>
        <row r="32">
          <cell r="L32">
            <v>54275984</v>
          </cell>
        </row>
        <row r="33">
          <cell r="L33">
            <v>611892</v>
          </cell>
        </row>
        <row r="34">
          <cell r="L34">
            <v>9030916</v>
          </cell>
        </row>
        <row r="35">
          <cell r="L35">
            <v>347775</v>
          </cell>
        </row>
        <row r="36">
          <cell r="L36">
            <v>21213116</v>
          </cell>
        </row>
        <row r="37">
          <cell r="L37">
            <v>34522060</v>
          </cell>
        </row>
        <row r="38">
          <cell r="L38">
            <v>119625411</v>
          </cell>
        </row>
        <row r="39">
          <cell r="L39">
            <v>1744948</v>
          </cell>
        </row>
        <row r="40">
          <cell r="L40">
            <v>1372446</v>
          </cell>
        </row>
        <row r="41">
          <cell r="L41">
            <v>69535618</v>
          </cell>
        </row>
        <row r="42">
          <cell r="L42">
            <v>20831529</v>
          </cell>
        </row>
        <row r="43">
          <cell r="L43">
            <v>9998074</v>
          </cell>
        </row>
        <row r="44">
          <cell r="L44">
            <v>620060526</v>
          </cell>
        </row>
        <row r="45">
          <cell r="L45">
            <v>1649185</v>
          </cell>
        </row>
        <row r="46">
          <cell r="L46">
            <v>83529635</v>
          </cell>
        </row>
      </sheetData>
      <sheetData sheetId="6">
        <row r="23">
          <cell r="C23">
            <v>92586297</v>
          </cell>
        </row>
      </sheetData>
    </sheetDataSet>
  </externalBook>
</externalLink>
</file>

<file path=xl/externalLinks/externalLink245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842298</v>
          </cell>
        </row>
        <row r="5">
          <cell r="L5">
            <v>53</v>
          </cell>
        </row>
        <row r="6">
          <cell r="L6">
            <v>1475397</v>
          </cell>
        </row>
        <row r="7">
          <cell r="L7">
            <v>9265729</v>
          </cell>
        </row>
        <row r="8">
          <cell r="L8">
            <v>36836117</v>
          </cell>
        </row>
        <row r="9">
          <cell r="L9">
            <v>3338646</v>
          </cell>
        </row>
        <row r="10">
          <cell r="L10">
            <v>519433</v>
          </cell>
        </row>
        <row r="11">
          <cell r="L11">
            <v>1590588</v>
          </cell>
        </row>
        <row r="12">
          <cell r="L12">
            <v>562</v>
          </cell>
        </row>
        <row r="13">
          <cell r="L13">
            <v>0</v>
          </cell>
        </row>
        <row r="14">
          <cell r="L14">
            <v>66015</v>
          </cell>
        </row>
        <row r="15">
          <cell r="L15">
            <v>5176429</v>
          </cell>
        </row>
        <row r="16">
          <cell r="L16">
            <v>13876</v>
          </cell>
        </row>
        <row r="17">
          <cell r="L17">
            <v>567199</v>
          </cell>
        </row>
        <row r="18">
          <cell r="L18">
            <v>1003848</v>
          </cell>
        </row>
        <row r="19">
          <cell r="L19">
            <v>1967857</v>
          </cell>
        </row>
        <row r="20">
          <cell r="L20">
            <v>5092989</v>
          </cell>
        </row>
        <row r="21">
          <cell r="L21">
            <v>13743721</v>
          </cell>
        </row>
        <row r="22">
          <cell r="L22">
            <v>625862</v>
          </cell>
        </row>
        <row r="23">
          <cell r="L23">
            <v>3284073</v>
          </cell>
        </row>
        <row r="24">
          <cell r="L24">
            <v>768970</v>
          </cell>
        </row>
        <row r="25">
          <cell r="L25">
            <v>5922205</v>
          </cell>
        </row>
        <row r="26">
          <cell r="L26">
            <v>448622</v>
          </cell>
        </row>
        <row r="27">
          <cell r="L27">
            <v>13774920</v>
          </cell>
        </row>
        <row r="28">
          <cell r="L28">
            <v>212</v>
          </cell>
        </row>
        <row r="29">
          <cell r="L29">
            <v>0</v>
          </cell>
        </row>
        <row r="30">
          <cell r="L30">
            <v>2396945</v>
          </cell>
        </row>
        <row r="31">
          <cell r="L31">
            <v>5653292</v>
          </cell>
        </row>
        <row r="32">
          <cell r="L32">
            <v>54853745</v>
          </cell>
        </row>
        <row r="33">
          <cell r="L33">
            <v>619096</v>
          </cell>
        </row>
        <row r="34">
          <cell r="L34">
            <v>9147988</v>
          </cell>
        </row>
        <row r="35">
          <cell r="L35">
            <v>358790</v>
          </cell>
        </row>
        <row r="36">
          <cell r="L36">
            <v>21142547</v>
          </cell>
        </row>
        <row r="37">
          <cell r="L37">
            <v>34349873</v>
          </cell>
        </row>
        <row r="38">
          <cell r="L38">
            <v>119520235</v>
          </cell>
        </row>
        <row r="39">
          <cell r="L39">
            <v>1717758</v>
          </cell>
        </row>
        <row r="40">
          <cell r="L40">
            <v>1357085</v>
          </cell>
        </row>
        <row r="41">
          <cell r="L41">
            <v>70874682</v>
          </cell>
        </row>
        <row r="42">
          <cell r="L42">
            <v>20358200</v>
          </cell>
        </row>
        <row r="43">
          <cell r="L43">
            <v>10421447</v>
          </cell>
        </row>
        <row r="44">
          <cell r="L44">
            <v>628121992</v>
          </cell>
        </row>
        <row r="45">
          <cell r="L45">
            <v>1719228</v>
          </cell>
        </row>
        <row r="46">
          <cell r="L46">
            <v>83058575</v>
          </cell>
        </row>
      </sheetData>
      <sheetData sheetId="6">
        <row r="23">
          <cell r="C23">
            <v>88271070</v>
          </cell>
        </row>
      </sheetData>
    </sheetDataSet>
  </externalBook>
</externalLink>
</file>

<file path=xl/externalLinks/externalLink246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1"/>
      <sheetName val="DATA_M13B"/>
      <sheetName val="M13A_RESIDENTS"/>
      <sheetName val="M13B_NONRESIDENTS"/>
      <sheetName val="M11"/>
      <sheetName val="SUMMARY"/>
    </sheetNames>
    <sheetDataSet>
      <sheetData sheetId="3">
        <row r="4">
          <cell r="L4">
            <v>1057508</v>
          </cell>
        </row>
        <row r="5">
          <cell r="L5">
            <v>56</v>
          </cell>
        </row>
        <row r="6">
          <cell r="L6">
            <v>1450953</v>
          </cell>
        </row>
        <row r="7">
          <cell r="L7">
            <v>7820697</v>
          </cell>
        </row>
        <row r="8">
          <cell r="L8">
            <v>37895756</v>
          </cell>
        </row>
        <row r="9">
          <cell r="L9">
            <v>3337641</v>
          </cell>
        </row>
        <row r="10">
          <cell r="L10">
            <v>519796</v>
          </cell>
        </row>
        <row r="11">
          <cell r="L11">
            <v>3059995</v>
          </cell>
        </row>
        <row r="12">
          <cell r="L12">
            <v>724</v>
          </cell>
        </row>
        <row r="13">
          <cell r="L13">
            <v>0</v>
          </cell>
        </row>
        <row r="14">
          <cell r="L14">
            <v>67455</v>
          </cell>
        </row>
        <row r="15">
          <cell r="L15">
            <v>5136150</v>
          </cell>
        </row>
        <row r="16">
          <cell r="L16">
            <v>13876</v>
          </cell>
        </row>
        <row r="17">
          <cell r="L17">
            <v>758847</v>
          </cell>
        </row>
        <row r="18">
          <cell r="L18">
            <v>1038212</v>
          </cell>
        </row>
        <row r="19">
          <cell r="L19">
            <v>1922614</v>
          </cell>
        </row>
        <row r="20">
          <cell r="L20">
            <v>5091270</v>
          </cell>
        </row>
        <row r="21">
          <cell r="L21">
            <v>18875854</v>
          </cell>
        </row>
        <row r="22">
          <cell r="L22">
            <v>565888</v>
          </cell>
        </row>
        <row r="23">
          <cell r="L23">
            <v>3277285</v>
          </cell>
        </row>
        <row r="24">
          <cell r="L24">
            <v>762301</v>
          </cell>
        </row>
        <row r="25">
          <cell r="L25">
            <v>5870482</v>
          </cell>
        </row>
        <row r="26">
          <cell r="L26">
            <v>428798</v>
          </cell>
        </row>
        <row r="27">
          <cell r="L27">
            <v>13768684</v>
          </cell>
        </row>
        <row r="28">
          <cell r="L28">
            <v>213</v>
          </cell>
        </row>
        <row r="29">
          <cell r="L29">
            <v>0</v>
          </cell>
        </row>
        <row r="30">
          <cell r="L30">
            <v>2366070</v>
          </cell>
        </row>
        <row r="31">
          <cell r="L31">
            <v>5686301</v>
          </cell>
        </row>
        <row r="32">
          <cell r="L32">
            <v>52562892</v>
          </cell>
        </row>
        <row r="33">
          <cell r="L33">
            <v>618946</v>
          </cell>
        </row>
        <row r="34">
          <cell r="L34">
            <v>9074351</v>
          </cell>
        </row>
        <row r="35">
          <cell r="L35">
            <v>355222</v>
          </cell>
        </row>
        <row r="36">
          <cell r="L36">
            <v>21372922</v>
          </cell>
        </row>
        <row r="37">
          <cell r="L37">
            <v>33689627</v>
          </cell>
        </row>
        <row r="38">
          <cell r="L38">
            <v>120862323</v>
          </cell>
        </row>
        <row r="39">
          <cell r="L39">
            <v>1670629</v>
          </cell>
        </row>
        <row r="40">
          <cell r="L40">
            <v>1367096</v>
          </cell>
        </row>
        <row r="41">
          <cell r="L41">
            <v>74051177</v>
          </cell>
        </row>
        <row r="42">
          <cell r="L42">
            <v>20201103</v>
          </cell>
        </row>
        <row r="43">
          <cell r="L43">
            <v>10331235</v>
          </cell>
        </row>
        <row r="44">
          <cell r="L44">
            <v>640456584</v>
          </cell>
        </row>
        <row r="45">
          <cell r="L45">
            <v>1844585</v>
          </cell>
        </row>
        <row r="46">
          <cell r="L46">
            <v>82609301</v>
          </cell>
        </row>
      </sheetData>
      <sheetData sheetId="6">
        <row r="23">
          <cell r="C23">
            <v>89841249</v>
          </cell>
        </row>
      </sheetData>
    </sheetDataSet>
  </externalBook>
</externalLink>
</file>

<file path=xl/externalLinks/externalLink247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980061</v>
          </cell>
        </row>
        <row r="5">
          <cell r="L5">
            <v>58</v>
          </cell>
        </row>
        <row r="6">
          <cell r="L6">
            <v>1450749</v>
          </cell>
        </row>
        <row r="7">
          <cell r="L7">
            <v>3452217</v>
          </cell>
        </row>
        <row r="8">
          <cell r="L8">
            <v>37646409</v>
          </cell>
        </row>
        <row r="9">
          <cell r="L9">
            <v>3219245</v>
          </cell>
        </row>
        <row r="10">
          <cell r="L10">
            <v>522163</v>
          </cell>
        </row>
        <row r="11">
          <cell r="L11">
            <v>2361631</v>
          </cell>
        </row>
        <row r="12">
          <cell r="L12">
            <v>688</v>
          </cell>
        </row>
        <row r="13">
          <cell r="L13">
            <v>0</v>
          </cell>
        </row>
        <row r="14">
          <cell r="L14">
            <v>64207</v>
          </cell>
        </row>
        <row r="15">
          <cell r="L15">
            <v>4314365</v>
          </cell>
        </row>
        <row r="16">
          <cell r="L16">
            <v>14054</v>
          </cell>
        </row>
        <row r="17">
          <cell r="L17">
            <v>559904</v>
          </cell>
        </row>
        <row r="18">
          <cell r="L18">
            <v>1052173</v>
          </cell>
        </row>
        <row r="19">
          <cell r="L19">
            <v>1874798</v>
          </cell>
        </row>
        <row r="20">
          <cell r="L20">
            <v>5021681</v>
          </cell>
        </row>
        <row r="21">
          <cell r="L21">
            <v>18458823</v>
          </cell>
        </row>
        <row r="22">
          <cell r="L22">
            <v>614557</v>
          </cell>
        </row>
        <row r="23">
          <cell r="L23">
            <v>3302583</v>
          </cell>
        </row>
        <row r="24">
          <cell r="L24">
            <v>946408</v>
          </cell>
        </row>
        <row r="25">
          <cell r="L25">
            <v>6021306</v>
          </cell>
        </row>
        <row r="26">
          <cell r="L26">
            <v>430752</v>
          </cell>
        </row>
        <row r="27">
          <cell r="L27">
            <v>13060752</v>
          </cell>
        </row>
        <row r="28">
          <cell r="L28">
            <v>154</v>
          </cell>
        </row>
        <row r="29">
          <cell r="L29">
            <v>326</v>
          </cell>
        </row>
        <row r="30">
          <cell r="L30">
            <v>2324471</v>
          </cell>
        </row>
        <row r="31">
          <cell r="L31">
            <v>5687789</v>
          </cell>
        </row>
        <row r="32">
          <cell r="L32">
            <v>55636118</v>
          </cell>
        </row>
        <row r="33">
          <cell r="L33">
            <v>638663</v>
          </cell>
        </row>
        <row r="34">
          <cell r="L34">
            <v>8931726</v>
          </cell>
        </row>
        <row r="35">
          <cell r="L35">
            <v>346334</v>
          </cell>
        </row>
        <row r="36">
          <cell r="L36">
            <v>21429833</v>
          </cell>
        </row>
        <row r="37">
          <cell r="L37">
            <v>32394695</v>
          </cell>
        </row>
        <row r="38">
          <cell r="L38">
            <v>118744468</v>
          </cell>
        </row>
        <row r="39">
          <cell r="L39">
            <v>2037816</v>
          </cell>
        </row>
        <row r="40">
          <cell r="L40">
            <v>1390151</v>
          </cell>
        </row>
        <row r="41">
          <cell r="L41">
            <v>73046882</v>
          </cell>
        </row>
        <row r="42">
          <cell r="L42">
            <v>20615989</v>
          </cell>
        </row>
        <row r="43">
          <cell r="L43">
            <v>10486354</v>
          </cell>
        </row>
        <row r="44">
          <cell r="L44">
            <v>643557532</v>
          </cell>
        </row>
        <row r="45">
          <cell r="L45">
            <v>1814631</v>
          </cell>
        </row>
        <row r="46">
          <cell r="L46">
            <v>84170158</v>
          </cell>
        </row>
      </sheetData>
      <sheetData sheetId="6">
        <row r="23">
          <cell r="C23">
            <v>95571810</v>
          </cell>
        </row>
      </sheetData>
    </sheetDataSet>
  </externalBook>
</externalLink>
</file>

<file path=xl/externalLinks/externalLink248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885196</v>
          </cell>
        </row>
        <row r="5">
          <cell r="L5">
            <v>1189</v>
          </cell>
        </row>
        <row r="6">
          <cell r="L6">
            <v>1452072</v>
          </cell>
        </row>
        <row r="7">
          <cell r="L7">
            <v>7459076</v>
          </cell>
        </row>
        <row r="8">
          <cell r="L8">
            <v>38459841</v>
          </cell>
        </row>
        <row r="9">
          <cell r="L9">
            <v>3218076</v>
          </cell>
        </row>
        <row r="10">
          <cell r="L10">
            <v>516366</v>
          </cell>
        </row>
        <row r="11">
          <cell r="L11">
            <v>2362739</v>
          </cell>
        </row>
        <row r="12">
          <cell r="L12">
            <v>651</v>
          </cell>
        </row>
        <row r="13">
          <cell r="L13">
            <v>0</v>
          </cell>
        </row>
        <row r="14">
          <cell r="L14">
            <v>69326</v>
          </cell>
        </row>
        <row r="15">
          <cell r="L15">
            <v>4357617</v>
          </cell>
        </row>
        <row r="16">
          <cell r="L16">
            <v>8715</v>
          </cell>
        </row>
        <row r="17">
          <cell r="L17">
            <v>560502</v>
          </cell>
        </row>
        <row r="18">
          <cell r="L18">
            <v>1082526</v>
          </cell>
        </row>
        <row r="19">
          <cell r="L19">
            <v>1788189</v>
          </cell>
        </row>
        <row r="20">
          <cell r="L20">
            <v>4956197</v>
          </cell>
        </row>
        <row r="21">
          <cell r="L21">
            <v>18029638</v>
          </cell>
        </row>
        <row r="22">
          <cell r="L22">
            <v>568670</v>
          </cell>
        </row>
        <row r="23">
          <cell r="L23">
            <v>3367180</v>
          </cell>
        </row>
        <row r="24">
          <cell r="L24">
            <v>954303</v>
          </cell>
        </row>
        <row r="25">
          <cell r="L25">
            <v>5902148</v>
          </cell>
        </row>
        <row r="26">
          <cell r="L26">
            <v>429912</v>
          </cell>
        </row>
        <row r="27">
          <cell r="L27">
            <v>12612077</v>
          </cell>
        </row>
        <row r="28">
          <cell r="L28">
            <v>1994</v>
          </cell>
        </row>
        <row r="29">
          <cell r="L29">
            <v>281</v>
          </cell>
        </row>
        <row r="30">
          <cell r="L30">
            <v>2260721</v>
          </cell>
        </row>
        <row r="31">
          <cell r="L31">
            <v>5739696</v>
          </cell>
        </row>
        <row r="32">
          <cell r="L32">
            <v>55160745</v>
          </cell>
        </row>
        <row r="33">
          <cell r="L33">
            <v>624464</v>
          </cell>
        </row>
        <row r="34">
          <cell r="L34">
            <v>8176019</v>
          </cell>
        </row>
        <row r="35">
          <cell r="L35">
            <v>340332</v>
          </cell>
        </row>
        <row r="36">
          <cell r="L36">
            <v>21486019</v>
          </cell>
        </row>
        <row r="37">
          <cell r="L37">
            <v>32438777</v>
          </cell>
        </row>
        <row r="38">
          <cell r="L38">
            <v>118842442</v>
          </cell>
        </row>
        <row r="39">
          <cell r="L39">
            <v>1971933</v>
          </cell>
        </row>
        <row r="40">
          <cell r="L40">
            <v>1344539</v>
          </cell>
        </row>
        <row r="41">
          <cell r="L41">
            <v>76714163</v>
          </cell>
        </row>
        <row r="42">
          <cell r="L42">
            <v>21425691</v>
          </cell>
        </row>
        <row r="43">
          <cell r="L43">
            <v>10372808</v>
          </cell>
        </row>
        <row r="44">
          <cell r="L44">
            <v>650845184</v>
          </cell>
        </row>
        <row r="45">
          <cell r="L45">
            <v>1795415</v>
          </cell>
        </row>
        <row r="46">
          <cell r="L46">
            <v>83677983</v>
          </cell>
        </row>
      </sheetData>
      <sheetData sheetId="6">
        <row r="23">
          <cell r="C23">
            <v>97040503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eb12loa"/>
    </sheetNames>
    <sheetDataSet>
      <sheetData sheetId="0">
        <row r="10">
          <cell r="I10">
            <v>5767188</v>
          </cell>
        </row>
        <row r="19">
          <cell r="I19">
            <v>507539</v>
          </cell>
        </row>
        <row r="23">
          <cell r="I23">
            <v>26624</v>
          </cell>
        </row>
        <row r="25">
          <cell r="J25">
            <v>582073</v>
          </cell>
        </row>
        <row r="30">
          <cell r="I30">
            <v>177806</v>
          </cell>
        </row>
        <row r="31">
          <cell r="I31">
            <v>1980610</v>
          </cell>
        </row>
        <row r="32">
          <cell r="I32">
            <v>2</v>
          </cell>
        </row>
        <row r="33">
          <cell r="I33">
            <v>140328</v>
          </cell>
        </row>
        <row r="34">
          <cell r="I34">
            <v>164309</v>
          </cell>
        </row>
        <row r="35">
          <cell r="I35">
            <v>623937</v>
          </cell>
        </row>
        <row r="36">
          <cell r="I36">
            <v>224931</v>
          </cell>
        </row>
        <row r="37">
          <cell r="I37">
            <v>937267</v>
          </cell>
        </row>
        <row r="38">
          <cell r="I38">
            <v>302512</v>
          </cell>
        </row>
        <row r="39">
          <cell r="I39">
            <v>3265380</v>
          </cell>
        </row>
        <row r="42">
          <cell r="I42">
            <v>20594791</v>
          </cell>
        </row>
        <row r="43">
          <cell r="I43">
            <v>583831</v>
          </cell>
        </row>
        <row r="44">
          <cell r="I44">
            <v>148463</v>
          </cell>
        </row>
        <row r="46">
          <cell r="J46">
            <v>1113409</v>
          </cell>
        </row>
        <row r="49">
          <cell r="I49">
            <v>4527295</v>
          </cell>
        </row>
        <row r="50">
          <cell r="I50">
            <v>507318</v>
          </cell>
        </row>
        <row r="51">
          <cell r="I51">
            <v>7116319</v>
          </cell>
        </row>
        <row r="53">
          <cell r="J53">
            <v>5564549</v>
          </cell>
        </row>
        <row r="56">
          <cell r="I56">
            <v>9821354</v>
          </cell>
        </row>
        <row r="57">
          <cell r="I57">
            <v>752</v>
          </cell>
        </row>
        <row r="58">
          <cell r="I58">
            <v>12422891</v>
          </cell>
        </row>
        <row r="59">
          <cell r="I59">
            <v>641231</v>
          </cell>
        </row>
        <row r="61">
          <cell r="J61">
            <v>33696903</v>
          </cell>
        </row>
        <row r="63">
          <cell r="J63">
            <v>30407592</v>
          </cell>
        </row>
        <row r="65">
          <cell r="J65">
            <v>571077</v>
          </cell>
        </row>
        <row r="67">
          <cell r="J67">
            <v>16267800</v>
          </cell>
        </row>
        <row r="73">
          <cell r="J73">
            <v>104313653</v>
          </cell>
        </row>
        <row r="77">
          <cell r="J77">
            <v>7430898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r12loa"/>
    </sheetNames>
    <sheetDataSet>
      <sheetData sheetId="0">
        <row r="10">
          <cell r="I10">
            <v>5831300</v>
          </cell>
        </row>
        <row r="19">
          <cell r="I19">
            <v>492676</v>
          </cell>
        </row>
        <row r="23">
          <cell r="I23">
            <v>26124</v>
          </cell>
        </row>
        <row r="25">
          <cell r="J25">
            <v>520802</v>
          </cell>
        </row>
        <row r="30">
          <cell r="I30">
            <v>160512</v>
          </cell>
        </row>
        <row r="31">
          <cell r="I31">
            <v>2671795</v>
          </cell>
        </row>
        <row r="32">
          <cell r="I32">
            <v>4</v>
          </cell>
        </row>
        <row r="33">
          <cell r="I33">
            <v>134703</v>
          </cell>
        </row>
        <row r="34">
          <cell r="I34">
            <v>167288</v>
          </cell>
        </row>
        <row r="35">
          <cell r="I35">
            <v>667386</v>
          </cell>
        </row>
        <row r="36">
          <cell r="I36">
            <v>238764</v>
          </cell>
        </row>
        <row r="37">
          <cell r="I37">
            <v>915814</v>
          </cell>
        </row>
        <row r="38">
          <cell r="I38">
            <v>294688</v>
          </cell>
        </row>
        <row r="39">
          <cell r="I39">
            <v>2939381</v>
          </cell>
        </row>
        <row r="42">
          <cell r="I42">
            <v>21318967</v>
          </cell>
        </row>
        <row r="43">
          <cell r="I43">
            <v>1119777</v>
          </cell>
        </row>
        <row r="44">
          <cell r="I44">
            <v>148765</v>
          </cell>
        </row>
        <row r="46">
          <cell r="J46">
            <v>1137386</v>
          </cell>
        </row>
        <row r="49">
          <cell r="I49">
            <v>4540414</v>
          </cell>
        </row>
        <row r="50">
          <cell r="I50">
            <v>506573</v>
          </cell>
        </row>
        <row r="51">
          <cell r="I51">
            <v>6370777</v>
          </cell>
        </row>
        <row r="53">
          <cell r="J53">
            <v>6359521</v>
          </cell>
        </row>
        <row r="56">
          <cell r="I56">
            <v>9700296</v>
          </cell>
        </row>
        <row r="57">
          <cell r="I57">
            <v>506</v>
          </cell>
        </row>
        <row r="58">
          <cell r="I58">
            <v>14984417</v>
          </cell>
        </row>
        <row r="59">
          <cell r="I59">
            <v>603809</v>
          </cell>
        </row>
        <row r="61">
          <cell r="J61">
            <v>35036771</v>
          </cell>
        </row>
        <row r="63">
          <cell r="J63">
            <v>29827014</v>
          </cell>
        </row>
        <row r="65">
          <cell r="J65">
            <v>574820</v>
          </cell>
        </row>
        <row r="67">
          <cell r="J67">
            <v>16264036</v>
          </cell>
        </row>
        <row r="73">
          <cell r="J73">
            <v>106433412</v>
          </cell>
        </row>
        <row r="77">
          <cell r="J77">
            <v>7216422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pr12loa"/>
    </sheetNames>
    <sheetDataSet>
      <sheetData sheetId="0">
        <row r="10">
          <cell r="I10">
            <v>5473973</v>
          </cell>
        </row>
        <row r="19">
          <cell r="I19">
            <v>490841</v>
          </cell>
        </row>
        <row r="23">
          <cell r="I23">
            <v>25624</v>
          </cell>
        </row>
        <row r="25">
          <cell r="J25">
            <v>524108</v>
          </cell>
        </row>
        <row r="30">
          <cell r="I30">
            <v>144175</v>
          </cell>
        </row>
        <row r="31">
          <cell r="I31">
            <v>2652761</v>
          </cell>
        </row>
        <row r="32">
          <cell r="I32">
            <v>4</v>
          </cell>
        </row>
        <row r="33">
          <cell r="I33">
            <v>147406</v>
          </cell>
        </row>
        <row r="34">
          <cell r="I34">
            <v>216061</v>
          </cell>
        </row>
        <row r="35">
          <cell r="I35">
            <v>635403</v>
          </cell>
        </row>
        <row r="36">
          <cell r="I36">
            <v>246335</v>
          </cell>
        </row>
        <row r="37">
          <cell r="I37">
            <v>935216</v>
          </cell>
        </row>
        <row r="38">
          <cell r="I38">
            <v>279440</v>
          </cell>
        </row>
        <row r="39">
          <cell r="I39">
            <v>2887012</v>
          </cell>
        </row>
        <row r="42">
          <cell r="I42">
            <v>21288898</v>
          </cell>
        </row>
        <row r="43">
          <cell r="I43">
            <v>1119927</v>
          </cell>
        </row>
        <row r="44">
          <cell r="I44">
            <v>160746</v>
          </cell>
        </row>
        <row r="46">
          <cell r="J46">
            <v>1194303</v>
          </cell>
        </row>
        <row r="49">
          <cell r="I49">
            <v>4586405</v>
          </cell>
        </row>
        <row r="50">
          <cell r="I50">
            <v>493852</v>
          </cell>
        </row>
        <row r="51">
          <cell r="I51">
            <v>6414055</v>
          </cell>
        </row>
        <row r="53">
          <cell r="J53">
            <v>6046916</v>
          </cell>
        </row>
        <row r="56">
          <cell r="I56">
            <v>9535985</v>
          </cell>
        </row>
        <row r="57">
          <cell r="I57">
            <v>360</v>
          </cell>
        </row>
        <row r="58">
          <cell r="I58">
            <v>15936602</v>
          </cell>
        </row>
        <row r="59">
          <cell r="I59">
            <v>554725</v>
          </cell>
        </row>
        <row r="61">
          <cell r="J61">
            <v>35002413</v>
          </cell>
        </row>
        <row r="63">
          <cell r="J63">
            <v>28162169</v>
          </cell>
        </row>
        <row r="65">
          <cell r="J65">
            <v>593761</v>
          </cell>
        </row>
        <row r="67">
          <cell r="J67">
            <v>16287692</v>
          </cell>
        </row>
        <row r="73">
          <cell r="J73">
            <v>108441913</v>
          </cell>
        </row>
        <row r="77">
          <cell r="J77">
            <v>7438433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y12loa"/>
    </sheetNames>
    <sheetDataSet>
      <sheetData sheetId="0">
        <row r="10">
          <cell r="I10">
            <v>5406429</v>
          </cell>
        </row>
        <row r="19">
          <cell r="I19">
            <v>455098</v>
          </cell>
        </row>
        <row r="23">
          <cell r="I23">
            <v>25124</v>
          </cell>
        </row>
        <row r="25">
          <cell r="J25">
            <v>552605</v>
          </cell>
        </row>
        <row r="30">
          <cell r="I30">
            <v>244464</v>
          </cell>
        </row>
        <row r="31">
          <cell r="I31">
            <v>2698098</v>
          </cell>
        </row>
        <row r="32">
          <cell r="I32">
            <v>4</v>
          </cell>
        </row>
        <row r="33">
          <cell r="I33">
            <v>174296</v>
          </cell>
        </row>
        <row r="34">
          <cell r="I34">
            <v>215838</v>
          </cell>
        </row>
        <row r="35">
          <cell r="I35">
            <v>644720</v>
          </cell>
        </row>
        <row r="36">
          <cell r="I36">
            <v>242064</v>
          </cell>
        </row>
        <row r="37">
          <cell r="I37">
            <v>935344</v>
          </cell>
        </row>
        <row r="38">
          <cell r="I38">
            <v>330844</v>
          </cell>
        </row>
        <row r="39">
          <cell r="I39">
            <v>3266346</v>
          </cell>
        </row>
        <row r="42">
          <cell r="I42">
            <v>21614269</v>
          </cell>
        </row>
        <row r="43">
          <cell r="I43">
            <v>1080370</v>
          </cell>
        </row>
        <row r="44">
          <cell r="I44">
            <v>157297</v>
          </cell>
        </row>
        <row r="46">
          <cell r="J46">
            <v>1141081</v>
          </cell>
        </row>
        <row r="49">
          <cell r="I49">
            <v>4711680</v>
          </cell>
        </row>
        <row r="50">
          <cell r="I50">
            <v>483510</v>
          </cell>
        </row>
        <row r="51">
          <cell r="I51">
            <v>6678221</v>
          </cell>
        </row>
        <row r="53">
          <cell r="J53">
            <v>6005785</v>
          </cell>
        </row>
        <row r="56">
          <cell r="I56">
            <v>9572563</v>
          </cell>
        </row>
        <row r="57">
          <cell r="I57">
            <v>213</v>
          </cell>
        </row>
        <row r="58">
          <cell r="I58">
            <v>16147971</v>
          </cell>
        </row>
        <row r="59">
          <cell r="I59">
            <v>552704</v>
          </cell>
        </row>
        <row r="61">
          <cell r="J61">
            <v>36511936</v>
          </cell>
        </row>
        <row r="63">
          <cell r="J63">
            <v>30400532</v>
          </cell>
        </row>
        <row r="65">
          <cell r="J65">
            <v>578230</v>
          </cell>
        </row>
        <row r="67">
          <cell r="J67">
            <v>16562825</v>
          </cell>
        </row>
        <row r="73">
          <cell r="J73">
            <v>112041161</v>
          </cell>
        </row>
        <row r="77">
          <cell r="J77">
            <v>7492620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Jun12loa"/>
    </sheetNames>
    <sheetDataSet>
      <sheetData sheetId="0">
        <row r="10">
          <cell r="I10">
            <v>4943137</v>
          </cell>
        </row>
        <row r="19">
          <cell r="I19">
            <v>456998</v>
          </cell>
        </row>
        <row r="23">
          <cell r="I23">
            <v>24511</v>
          </cell>
        </row>
        <row r="25">
          <cell r="J25">
            <v>500281</v>
          </cell>
        </row>
        <row r="30">
          <cell r="I30">
            <v>225054</v>
          </cell>
        </row>
        <row r="31">
          <cell r="I31">
            <v>3454657</v>
          </cell>
        </row>
        <row r="32">
          <cell r="I32">
            <v>5</v>
          </cell>
        </row>
        <row r="33">
          <cell r="I33">
            <v>156440</v>
          </cell>
        </row>
        <row r="34">
          <cell r="I34">
            <v>218920</v>
          </cell>
        </row>
        <row r="35">
          <cell r="I35">
            <v>634294</v>
          </cell>
        </row>
        <row r="36">
          <cell r="I36">
            <v>236102</v>
          </cell>
        </row>
        <row r="37">
          <cell r="I37">
            <v>913414</v>
          </cell>
        </row>
        <row r="38">
          <cell r="I38">
            <v>331317</v>
          </cell>
        </row>
        <row r="39">
          <cell r="I39">
            <v>3235042</v>
          </cell>
        </row>
        <row r="42">
          <cell r="I42">
            <v>20408391</v>
          </cell>
        </row>
        <row r="43">
          <cell r="I43">
            <v>1073511</v>
          </cell>
        </row>
        <row r="44">
          <cell r="I44">
            <v>155777</v>
          </cell>
        </row>
        <row r="46">
          <cell r="J46">
            <v>1123773</v>
          </cell>
        </row>
        <row r="49">
          <cell r="I49">
            <v>4800240</v>
          </cell>
        </row>
        <row r="50">
          <cell r="I50">
            <v>481416</v>
          </cell>
        </row>
        <row r="51">
          <cell r="I51">
            <v>6503755</v>
          </cell>
        </row>
        <row r="53">
          <cell r="J53">
            <v>6485420</v>
          </cell>
        </row>
        <row r="56">
          <cell r="I56">
            <v>9565456</v>
          </cell>
        </row>
        <row r="57">
          <cell r="I57">
            <v>58</v>
          </cell>
        </row>
        <row r="58">
          <cell r="I58">
            <v>15435263</v>
          </cell>
        </row>
        <row r="59">
          <cell r="I59">
            <v>489804</v>
          </cell>
        </row>
        <row r="61">
          <cell r="J61">
            <v>37410111</v>
          </cell>
        </row>
        <row r="63">
          <cell r="J63">
            <v>26978864</v>
          </cell>
        </row>
        <row r="65">
          <cell r="J65">
            <v>670978</v>
          </cell>
        </row>
        <row r="67">
          <cell r="J67">
            <v>17633629</v>
          </cell>
        </row>
        <row r="73">
          <cell r="J73">
            <v>115895408</v>
          </cell>
        </row>
        <row r="77">
          <cell r="J77">
            <v>7486859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1360783</v>
          </cell>
        </row>
        <row r="5">
          <cell r="L5">
            <v>604</v>
          </cell>
        </row>
        <row r="6">
          <cell r="L6">
            <v>695964</v>
          </cell>
        </row>
        <row r="7">
          <cell r="L7">
            <v>17677443</v>
          </cell>
        </row>
        <row r="8">
          <cell r="L8">
            <v>8349474</v>
          </cell>
        </row>
        <row r="9">
          <cell r="L9">
            <v>3753257</v>
          </cell>
        </row>
        <row r="10">
          <cell r="L10">
            <v>156692</v>
          </cell>
        </row>
        <row r="11">
          <cell r="L11">
            <v>1804166</v>
          </cell>
        </row>
        <row r="12">
          <cell r="L12">
            <v>0</v>
          </cell>
        </row>
        <row r="13">
          <cell r="L13">
            <v>1017</v>
          </cell>
        </row>
        <row r="14">
          <cell r="L14">
            <v>45460</v>
          </cell>
        </row>
        <row r="15">
          <cell r="L15">
            <v>6799564</v>
          </cell>
        </row>
        <row r="16">
          <cell r="L16">
            <v>1113999</v>
          </cell>
        </row>
        <row r="17">
          <cell r="L17">
            <v>573641</v>
          </cell>
        </row>
        <row r="18">
          <cell r="L18">
            <v>355674</v>
          </cell>
        </row>
        <row r="19">
          <cell r="L19">
            <v>1117268</v>
          </cell>
        </row>
        <row r="20">
          <cell r="L20">
            <v>4684441</v>
          </cell>
        </row>
        <row r="21">
          <cell r="L21">
            <v>11506898</v>
          </cell>
        </row>
        <row r="22">
          <cell r="L22">
            <v>488746</v>
          </cell>
        </row>
        <row r="23">
          <cell r="L23">
            <v>3960127</v>
          </cell>
        </row>
        <row r="24">
          <cell r="L24">
            <v>943312</v>
          </cell>
        </row>
        <row r="25">
          <cell r="L25">
            <v>146314</v>
          </cell>
        </row>
        <row r="26">
          <cell r="L26">
            <v>419153</v>
          </cell>
        </row>
        <row r="27">
          <cell r="L27">
            <v>9135833</v>
          </cell>
        </row>
        <row r="28">
          <cell r="L28">
            <v>4588201</v>
          </cell>
        </row>
        <row r="29">
          <cell r="L29">
            <v>317</v>
          </cell>
        </row>
        <row r="30">
          <cell r="L30">
            <v>905928</v>
          </cell>
        </row>
        <row r="31">
          <cell r="L31">
            <v>1916441</v>
          </cell>
        </row>
        <row r="32">
          <cell r="L32">
            <v>32150701</v>
          </cell>
        </row>
        <row r="33">
          <cell r="L33">
            <v>1608170</v>
          </cell>
        </row>
        <row r="34">
          <cell r="L34">
            <v>2234681</v>
          </cell>
        </row>
        <row r="35">
          <cell r="L35">
            <v>294549</v>
          </cell>
        </row>
        <row r="36">
          <cell r="L36">
            <v>12161936</v>
          </cell>
        </row>
        <row r="37">
          <cell r="L37">
            <v>32163592</v>
          </cell>
        </row>
        <row r="38">
          <cell r="L38">
            <v>66994854</v>
          </cell>
        </row>
        <row r="39">
          <cell r="L39">
            <v>2102355</v>
          </cell>
        </row>
        <row r="40">
          <cell r="L40">
            <v>531307</v>
          </cell>
        </row>
        <row r="41">
          <cell r="L41">
            <v>25645228</v>
          </cell>
        </row>
        <row r="42">
          <cell r="L42">
            <v>9854413</v>
          </cell>
        </row>
        <row r="43">
          <cell r="L43">
            <v>9971942</v>
          </cell>
        </row>
        <row r="44">
          <cell r="L44">
            <v>357579027</v>
          </cell>
        </row>
        <row r="45">
          <cell r="L45">
            <v>449136</v>
          </cell>
        </row>
        <row r="46">
          <cell r="L46">
            <v>55345404</v>
          </cell>
        </row>
      </sheetData>
      <sheetData sheetId="6">
        <row r="23">
          <cell r="C23">
            <v>45604613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Jul12loa"/>
    </sheetNames>
    <sheetDataSet>
      <sheetData sheetId="0">
        <row r="10">
          <cell r="I10">
            <v>4730878</v>
          </cell>
        </row>
        <row r="19">
          <cell r="I19">
            <v>890956</v>
          </cell>
        </row>
        <row r="23">
          <cell r="I23">
            <v>23898</v>
          </cell>
        </row>
        <row r="25">
          <cell r="J25">
            <v>488108</v>
          </cell>
        </row>
        <row r="30">
          <cell r="I30">
            <v>474715</v>
          </cell>
        </row>
        <row r="31">
          <cell r="I31">
            <v>4185718</v>
          </cell>
        </row>
        <row r="32">
          <cell r="I32">
            <v>0</v>
          </cell>
        </row>
        <row r="33">
          <cell r="I33">
            <v>165765</v>
          </cell>
        </row>
        <row r="34">
          <cell r="I34">
            <v>208886</v>
          </cell>
        </row>
        <row r="35">
          <cell r="I35">
            <v>687284</v>
          </cell>
        </row>
        <row r="36">
          <cell r="I36">
            <v>235022</v>
          </cell>
        </row>
        <row r="37">
          <cell r="I37">
            <v>905904</v>
          </cell>
        </row>
        <row r="38">
          <cell r="I38">
            <v>287846</v>
          </cell>
        </row>
        <row r="39">
          <cell r="I39">
            <v>3210861</v>
          </cell>
        </row>
        <row r="42">
          <cell r="I42">
            <v>18623793</v>
          </cell>
        </row>
        <row r="43">
          <cell r="I43">
            <v>1090146</v>
          </cell>
        </row>
        <row r="44">
          <cell r="I44">
            <v>141446</v>
          </cell>
        </row>
        <row r="46">
          <cell r="J46">
            <v>989201</v>
          </cell>
        </row>
        <row r="49">
          <cell r="I49">
            <v>4804692</v>
          </cell>
        </row>
        <row r="50">
          <cell r="I50">
            <v>476962</v>
          </cell>
        </row>
        <row r="51">
          <cell r="I51">
            <v>6555830</v>
          </cell>
        </row>
        <row r="53">
          <cell r="J53">
            <v>7437658</v>
          </cell>
        </row>
        <row r="56">
          <cell r="I56">
            <v>9610147</v>
          </cell>
        </row>
        <row r="57">
          <cell r="I57">
            <v>63</v>
          </cell>
        </row>
        <row r="58">
          <cell r="I58">
            <v>15118996</v>
          </cell>
        </row>
        <row r="59">
          <cell r="I59">
            <v>487290</v>
          </cell>
        </row>
        <row r="61">
          <cell r="J61">
            <v>37556866</v>
          </cell>
        </row>
        <row r="63">
          <cell r="J63">
            <v>26687114</v>
          </cell>
        </row>
        <row r="65">
          <cell r="J65">
            <v>637112</v>
          </cell>
        </row>
        <row r="67">
          <cell r="J67">
            <v>18996538</v>
          </cell>
        </row>
        <row r="73">
          <cell r="J73">
            <v>116515492</v>
          </cell>
        </row>
        <row r="77">
          <cell r="J77">
            <v>7666807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ep12loa"/>
    </sheetNames>
    <sheetDataSet>
      <sheetData sheetId="0">
        <row r="10">
          <cell r="I10">
            <v>4938967</v>
          </cell>
        </row>
        <row r="19">
          <cell r="I19">
            <v>875295</v>
          </cell>
        </row>
        <row r="23">
          <cell r="I23">
            <v>222898</v>
          </cell>
        </row>
        <row r="25">
          <cell r="J25">
            <v>594162</v>
          </cell>
        </row>
        <row r="30">
          <cell r="I30">
            <v>314511</v>
          </cell>
        </row>
        <row r="31">
          <cell r="I31">
            <v>4508655</v>
          </cell>
        </row>
        <row r="32">
          <cell r="I32">
            <v>0</v>
          </cell>
        </row>
        <row r="33">
          <cell r="I33">
            <v>178931</v>
          </cell>
        </row>
        <row r="34">
          <cell r="I34">
            <v>215325</v>
          </cell>
        </row>
        <row r="35">
          <cell r="I35">
            <v>703020</v>
          </cell>
        </row>
        <row r="36">
          <cell r="I36">
            <v>229071</v>
          </cell>
        </row>
        <row r="37">
          <cell r="I37">
            <v>898262</v>
          </cell>
        </row>
        <row r="38">
          <cell r="I38">
            <v>876738</v>
          </cell>
        </row>
        <row r="39">
          <cell r="I39">
            <v>2419337</v>
          </cell>
        </row>
        <row r="42">
          <cell r="I42">
            <v>19241992</v>
          </cell>
        </row>
        <row r="43">
          <cell r="I43">
            <v>1646365</v>
          </cell>
        </row>
        <row r="44">
          <cell r="I44">
            <v>137616</v>
          </cell>
        </row>
        <row r="46">
          <cell r="J46">
            <v>1014516</v>
          </cell>
        </row>
        <row r="49">
          <cell r="I49">
            <v>4782578</v>
          </cell>
        </row>
        <row r="50">
          <cell r="I50">
            <v>460477</v>
          </cell>
        </row>
        <row r="51">
          <cell r="I51">
            <v>6375839</v>
          </cell>
        </row>
        <row r="53">
          <cell r="J53">
            <v>7077116</v>
          </cell>
        </row>
        <row r="56">
          <cell r="I56">
            <v>9501487</v>
          </cell>
        </row>
        <row r="57">
          <cell r="I57">
            <v>65</v>
          </cell>
        </row>
        <row r="58">
          <cell r="I58">
            <v>15853221</v>
          </cell>
        </row>
        <row r="59">
          <cell r="I59">
            <v>433360</v>
          </cell>
        </row>
        <row r="61">
          <cell r="J61">
            <v>39976009</v>
          </cell>
        </row>
        <row r="63">
          <cell r="J63">
            <v>25793710</v>
          </cell>
        </row>
        <row r="65">
          <cell r="J65">
            <v>746656</v>
          </cell>
        </row>
        <row r="67">
          <cell r="J67">
            <v>17952772</v>
          </cell>
        </row>
        <row r="73">
          <cell r="J73">
            <v>121570833</v>
          </cell>
        </row>
        <row r="77">
          <cell r="J77">
            <v>9092748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Oct12loa"/>
    </sheetNames>
    <sheetDataSet>
      <sheetData sheetId="0">
        <row r="10">
          <cell r="I10">
            <v>4927387</v>
          </cell>
        </row>
        <row r="19">
          <cell r="I19">
            <v>792424</v>
          </cell>
        </row>
        <row r="23">
          <cell r="I23">
            <v>222398</v>
          </cell>
        </row>
        <row r="25">
          <cell r="J25">
            <v>663502</v>
          </cell>
        </row>
        <row r="30">
          <cell r="I30">
            <v>1097660</v>
          </cell>
        </row>
        <row r="31">
          <cell r="I31">
            <v>4207269</v>
          </cell>
        </row>
        <row r="32">
          <cell r="I32">
            <v>0</v>
          </cell>
        </row>
        <row r="33">
          <cell r="I33">
            <v>164034</v>
          </cell>
        </row>
        <row r="34">
          <cell r="I34">
            <v>217517</v>
          </cell>
        </row>
        <row r="35">
          <cell r="I35">
            <v>517058</v>
          </cell>
        </row>
        <row r="36">
          <cell r="I36">
            <v>230359</v>
          </cell>
        </row>
        <row r="37">
          <cell r="I37">
            <v>901235</v>
          </cell>
        </row>
        <row r="38">
          <cell r="I38">
            <v>866649</v>
          </cell>
        </row>
        <row r="39">
          <cell r="I39">
            <v>2572354</v>
          </cell>
        </row>
        <row r="42">
          <cell r="I42">
            <v>18995585</v>
          </cell>
        </row>
        <row r="43">
          <cell r="I43">
            <v>1677684</v>
          </cell>
        </row>
        <row r="44">
          <cell r="I44">
            <v>136143</v>
          </cell>
        </row>
        <row r="46">
          <cell r="J46">
            <v>2367222</v>
          </cell>
        </row>
        <row r="49">
          <cell r="I49">
            <v>4736332</v>
          </cell>
        </row>
        <row r="50">
          <cell r="I50">
            <v>455601</v>
          </cell>
        </row>
        <row r="51">
          <cell r="I51">
            <v>6442981</v>
          </cell>
        </row>
        <row r="53">
          <cell r="J53">
            <v>7368128</v>
          </cell>
        </row>
        <row r="56">
          <cell r="I56">
            <v>9388072</v>
          </cell>
        </row>
        <row r="57">
          <cell r="I57">
            <v>70</v>
          </cell>
        </row>
        <row r="58">
          <cell r="I58">
            <v>17162579</v>
          </cell>
        </row>
        <row r="59">
          <cell r="I59">
            <v>483764</v>
          </cell>
        </row>
        <row r="61">
          <cell r="J61">
            <v>40370091</v>
          </cell>
        </row>
        <row r="63">
          <cell r="J63">
            <v>26258022</v>
          </cell>
        </row>
        <row r="65">
          <cell r="J65">
            <v>754380</v>
          </cell>
        </row>
        <row r="67">
          <cell r="J67">
            <v>18104743</v>
          </cell>
        </row>
        <row r="73">
          <cell r="J73">
            <v>122413510</v>
          </cell>
        </row>
        <row r="77">
          <cell r="J77">
            <v>10739041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ov12loa"/>
    </sheetNames>
    <sheetDataSet>
      <sheetData sheetId="0">
        <row r="10">
          <cell r="I10">
            <v>5099839</v>
          </cell>
        </row>
        <row r="19">
          <cell r="I19">
            <v>802779</v>
          </cell>
        </row>
        <row r="23">
          <cell r="I23">
            <v>221898</v>
          </cell>
        </row>
        <row r="25">
          <cell r="J25">
            <v>635745</v>
          </cell>
        </row>
        <row r="30">
          <cell r="I30">
            <v>1981623</v>
          </cell>
        </row>
        <row r="31">
          <cell r="I31">
            <v>4246724</v>
          </cell>
        </row>
        <row r="32">
          <cell r="I32">
            <v>0</v>
          </cell>
        </row>
        <row r="33">
          <cell r="I33">
            <v>169192</v>
          </cell>
        </row>
        <row r="34">
          <cell r="I34">
            <v>204352</v>
          </cell>
        </row>
        <row r="35">
          <cell r="I35">
            <v>497023</v>
          </cell>
        </row>
        <row r="36">
          <cell r="I36">
            <v>222995</v>
          </cell>
        </row>
        <row r="37">
          <cell r="I37">
            <v>887610</v>
          </cell>
        </row>
        <row r="38">
          <cell r="I38">
            <v>860130</v>
          </cell>
        </row>
        <row r="39">
          <cell r="I39">
            <v>2389944</v>
          </cell>
        </row>
        <row r="42">
          <cell r="I42">
            <v>19282393</v>
          </cell>
        </row>
        <row r="43">
          <cell r="I43">
            <v>1668069</v>
          </cell>
        </row>
        <row r="44">
          <cell r="I44">
            <v>134765</v>
          </cell>
        </row>
        <row r="46">
          <cell r="J46">
            <v>1850245</v>
          </cell>
        </row>
        <row r="49">
          <cell r="I49">
            <v>4906085</v>
          </cell>
        </row>
        <row r="50">
          <cell r="I50">
            <v>451479</v>
          </cell>
        </row>
        <row r="51">
          <cell r="I51">
            <v>6327979</v>
          </cell>
        </row>
        <row r="53">
          <cell r="J53">
            <v>7864916</v>
          </cell>
        </row>
        <row r="56">
          <cell r="I56">
            <v>9449926</v>
          </cell>
        </row>
        <row r="57">
          <cell r="I57">
            <v>73</v>
          </cell>
        </row>
        <row r="58">
          <cell r="I58">
            <v>15209583</v>
          </cell>
        </row>
        <row r="59">
          <cell r="I59">
            <v>489468</v>
          </cell>
        </row>
        <row r="61">
          <cell r="J61">
            <v>40876821</v>
          </cell>
        </row>
        <row r="63">
          <cell r="J63">
            <v>26337737</v>
          </cell>
        </row>
        <row r="65">
          <cell r="J65">
            <v>737028</v>
          </cell>
        </row>
        <row r="67">
          <cell r="J67">
            <v>18250337</v>
          </cell>
        </row>
        <row r="73">
          <cell r="J73">
            <v>124811016</v>
          </cell>
        </row>
        <row r="77">
          <cell r="J77">
            <v>13387069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ec12loa"/>
    </sheetNames>
    <sheetDataSet>
      <sheetData sheetId="0">
        <row r="10">
          <cell r="I10">
            <v>5138694</v>
          </cell>
        </row>
        <row r="19">
          <cell r="I19">
            <v>782907</v>
          </cell>
        </row>
        <row r="23">
          <cell r="I23">
            <v>216636</v>
          </cell>
        </row>
        <row r="25">
          <cell r="J25">
            <v>692970</v>
          </cell>
        </row>
        <row r="30">
          <cell r="I30">
            <v>1871640</v>
          </cell>
        </row>
        <row r="31">
          <cell r="I31">
            <v>4333708</v>
          </cell>
        </row>
        <row r="32">
          <cell r="I32">
            <v>0</v>
          </cell>
        </row>
        <row r="33">
          <cell r="I33">
            <v>168266</v>
          </cell>
        </row>
        <row r="34">
          <cell r="I34">
            <v>201571</v>
          </cell>
        </row>
        <row r="35">
          <cell r="I35">
            <v>474405</v>
          </cell>
        </row>
        <row r="36">
          <cell r="I36">
            <v>228327</v>
          </cell>
        </row>
        <row r="37">
          <cell r="I37">
            <v>884134</v>
          </cell>
        </row>
        <row r="38">
          <cell r="I38">
            <v>819764</v>
          </cell>
        </row>
        <row r="39">
          <cell r="I39">
            <v>3081236</v>
          </cell>
        </row>
        <row r="42">
          <cell r="I42">
            <v>19299390</v>
          </cell>
        </row>
        <row r="43">
          <cell r="I43">
            <v>1683826</v>
          </cell>
        </row>
        <row r="44">
          <cell r="I44">
            <v>132233</v>
          </cell>
        </row>
        <row r="46">
          <cell r="J46">
            <v>2287006</v>
          </cell>
        </row>
        <row r="49">
          <cell r="I49">
            <v>5004245</v>
          </cell>
        </row>
        <row r="50">
          <cell r="I50">
            <v>445638</v>
          </cell>
        </row>
        <row r="51">
          <cell r="I51">
            <v>6436599</v>
          </cell>
        </row>
        <row r="53">
          <cell r="J53">
            <v>7517952</v>
          </cell>
        </row>
        <row r="56">
          <cell r="I56">
            <v>9520873</v>
          </cell>
        </row>
        <row r="57">
          <cell r="I57">
            <v>44</v>
          </cell>
        </row>
        <row r="58">
          <cell r="I58">
            <v>15219351</v>
          </cell>
        </row>
        <row r="59">
          <cell r="I59">
            <v>568820</v>
          </cell>
        </row>
        <row r="61">
          <cell r="J61">
            <v>40054658</v>
          </cell>
        </row>
        <row r="63">
          <cell r="J63">
            <v>26335399</v>
          </cell>
        </row>
        <row r="65">
          <cell r="J65">
            <v>1132480</v>
          </cell>
        </row>
        <row r="67">
          <cell r="J67">
            <v>17793515</v>
          </cell>
        </row>
        <row r="73">
          <cell r="J73">
            <v>127342775</v>
          </cell>
        </row>
        <row r="77">
          <cell r="J77">
            <v>7808869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Jan13loa"/>
    </sheetNames>
    <sheetDataSet>
      <sheetData sheetId="0">
        <row r="10">
          <cell r="I10">
            <v>5017519</v>
          </cell>
        </row>
        <row r="19">
          <cell r="I19">
            <v>981093</v>
          </cell>
        </row>
        <row r="23">
          <cell r="I23">
            <v>213512</v>
          </cell>
        </row>
        <row r="25">
          <cell r="J25">
            <v>612285</v>
          </cell>
        </row>
        <row r="30">
          <cell r="I30">
            <v>1572089</v>
          </cell>
        </row>
        <row r="31">
          <cell r="I31">
            <v>4760818</v>
          </cell>
        </row>
        <row r="32">
          <cell r="I32">
            <v>0</v>
          </cell>
        </row>
        <row r="33">
          <cell r="I33">
            <v>155320</v>
          </cell>
        </row>
        <row r="34">
          <cell r="I34">
            <v>208125</v>
          </cell>
        </row>
        <row r="35">
          <cell r="I35">
            <v>469710</v>
          </cell>
        </row>
        <row r="36">
          <cell r="I36">
            <v>217864</v>
          </cell>
        </row>
        <row r="37">
          <cell r="I37">
            <v>854727</v>
          </cell>
        </row>
        <row r="38">
          <cell r="I38">
            <v>807194</v>
          </cell>
        </row>
        <row r="39">
          <cell r="I39">
            <v>2338974</v>
          </cell>
        </row>
        <row r="42">
          <cell r="I42">
            <v>19507422</v>
          </cell>
        </row>
        <row r="43">
          <cell r="I43">
            <v>1729829</v>
          </cell>
        </row>
        <row r="44">
          <cell r="I44">
            <v>317057</v>
          </cell>
        </row>
        <row r="46">
          <cell r="J46">
            <v>2328170</v>
          </cell>
        </row>
        <row r="49">
          <cell r="I49">
            <v>5340110</v>
          </cell>
        </row>
        <row r="50">
          <cell r="I50">
            <v>435608</v>
          </cell>
        </row>
        <row r="51">
          <cell r="I51">
            <v>6298851</v>
          </cell>
        </row>
        <row r="53">
          <cell r="J53">
            <v>9616769</v>
          </cell>
        </row>
        <row r="56">
          <cell r="I56">
            <v>6447745</v>
          </cell>
        </row>
        <row r="57">
          <cell r="I57">
            <v>49</v>
          </cell>
        </row>
        <row r="58">
          <cell r="I58">
            <v>15918142</v>
          </cell>
        </row>
        <row r="59">
          <cell r="I59">
            <v>598472</v>
          </cell>
        </row>
        <row r="61">
          <cell r="J61">
            <v>41144510</v>
          </cell>
        </row>
        <row r="63">
          <cell r="J63">
            <v>28105260</v>
          </cell>
        </row>
        <row r="65">
          <cell r="J65">
            <v>1827881</v>
          </cell>
        </row>
        <row r="67">
          <cell r="J67">
            <v>17618954</v>
          </cell>
        </row>
        <row r="73">
          <cell r="J73">
            <v>129112560</v>
          </cell>
        </row>
        <row r="77">
          <cell r="J77">
            <v>6927555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eb13loa"/>
    </sheetNames>
    <sheetDataSet>
      <sheetData sheetId="0">
        <row r="10">
          <cell r="I10">
            <v>5035370</v>
          </cell>
        </row>
        <row r="19">
          <cell r="I19">
            <v>1000140</v>
          </cell>
        </row>
        <row r="23">
          <cell r="I23">
            <v>213012</v>
          </cell>
        </row>
        <row r="25">
          <cell r="J25">
            <v>595820</v>
          </cell>
        </row>
        <row r="30">
          <cell r="I30">
            <v>1215859</v>
          </cell>
        </row>
        <row r="31">
          <cell r="I31">
            <v>4874592</v>
          </cell>
        </row>
        <row r="32">
          <cell r="I32">
            <v>0</v>
          </cell>
        </row>
        <row r="33">
          <cell r="I33">
            <v>154549</v>
          </cell>
        </row>
        <row r="34">
          <cell r="I34">
            <v>220842</v>
          </cell>
        </row>
        <row r="35">
          <cell r="I35">
            <v>483170</v>
          </cell>
        </row>
        <row r="36">
          <cell r="I36">
            <v>224386</v>
          </cell>
        </row>
        <row r="37">
          <cell r="I37">
            <v>876045</v>
          </cell>
        </row>
        <row r="38">
          <cell r="I38">
            <v>810342</v>
          </cell>
        </row>
        <row r="39">
          <cell r="I39">
            <v>2402447</v>
          </cell>
        </row>
        <row r="42">
          <cell r="I42">
            <v>19733158</v>
          </cell>
        </row>
        <row r="43">
          <cell r="I43">
            <v>1757477</v>
          </cell>
        </row>
        <row r="44">
          <cell r="I44">
            <v>311666</v>
          </cell>
        </row>
        <row r="46">
          <cell r="J46">
            <v>2434644</v>
          </cell>
        </row>
        <row r="49">
          <cell r="I49">
            <v>5463595</v>
          </cell>
        </row>
        <row r="50">
          <cell r="I50">
            <v>431548</v>
          </cell>
        </row>
        <row r="51">
          <cell r="I51">
            <v>6576295</v>
          </cell>
        </row>
        <row r="53">
          <cell r="J53">
            <v>12145264</v>
          </cell>
        </row>
        <row r="56">
          <cell r="I56">
            <v>6561982</v>
          </cell>
        </row>
        <row r="57">
          <cell r="I57">
            <v>52</v>
          </cell>
        </row>
        <row r="58">
          <cell r="I58">
            <v>16513064</v>
          </cell>
        </row>
        <row r="59">
          <cell r="I59">
            <v>574463</v>
          </cell>
        </row>
        <row r="61">
          <cell r="J61">
            <v>41161653</v>
          </cell>
        </row>
        <row r="63">
          <cell r="J63">
            <v>24884545</v>
          </cell>
        </row>
        <row r="65">
          <cell r="J65">
            <v>2069198</v>
          </cell>
        </row>
        <row r="67">
          <cell r="J67">
            <v>17759154</v>
          </cell>
        </row>
        <row r="73">
          <cell r="J73">
            <v>132511328</v>
          </cell>
        </row>
        <row r="77">
          <cell r="J77">
            <v>8720137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Mar13loa"/>
    </sheetNames>
    <sheetDataSet>
      <sheetData sheetId="0">
        <row r="10">
          <cell r="I10">
            <v>5209160</v>
          </cell>
        </row>
        <row r="19">
          <cell r="I19">
            <v>1017214</v>
          </cell>
        </row>
        <row r="23">
          <cell r="I23">
            <v>208400</v>
          </cell>
        </row>
        <row r="25">
          <cell r="J25">
            <v>646989</v>
          </cell>
        </row>
        <row r="30">
          <cell r="I30">
            <v>655817</v>
          </cell>
        </row>
        <row r="31">
          <cell r="I31">
            <v>5454283</v>
          </cell>
        </row>
        <row r="32">
          <cell r="I32">
            <v>0</v>
          </cell>
        </row>
        <row r="33">
          <cell r="I33">
            <v>245892</v>
          </cell>
        </row>
        <row r="34">
          <cell r="I34">
            <v>217843</v>
          </cell>
        </row>
        <row r="35">
          <cell r="I35">
            <v>456862</v>
          </cell>
        </row>
        <row r="36">
          <cell r="I36">
            <v>225675</v>
          </cell>
        </row>
        <row r="37">
          <cell r="I37">
            <v>875029</v>
          </cell>
        </row>
        <row r="38">
          <cell r="I38">
            <v>785214</v>
          </cell>
        </row>
        <row r="39">
          <cell r="I39">
            <v>3432598</v>
          </cell>
        </row>
        <row r="42">
          <cell r="I42">
            <v>20074044</v>
          </cell>
        </row>
        <row r="43">
          <cell r="I43">
            <v>1727579</v>
          </cell>
        </row>
        <row r="44">
          <cell r="I44">
            <v>314204</v>
          </cell>
        </row>
        <row r="46">
          <cell r="J46">
            <v>2483054</v>
          </cell>
        </row>
        <row r="49">
          <cell r="I49">
            <v>5579313</v>
          </cell>
        </row>
        <row r="50">
          <cell r="I50">
            <v>429541</v>
          </cell>
        </row>
        <row r="51">
          <cell r="I51">
            <v>6499090</v>
          </cell>
        </row>
        <row r="53">
          <cell r="J53">
            <v>12502771</v>
          </cell>
        </row>
        <row r="56">
          <cell r="I56">
            <v>6518261</v>
          </cell>
        </row>
        <row r="57">
          <cell r="I57">
            <v>58</v>
          </cell>
        </row>
        <row r="58">
          <cell r="I58">
            <v>15646921</v>
          </cell>
        </row>
        <row r="59">
          <cell r="I59">
            <v>669334</v>
          </cell>
        </row>
        <row r="61">
          <cell r="J61">
            <v>41716726</v>
          </cell>
        </row>
        <row r="63">
          <cell r="J63">
            <v>25025308</v>
          </cell>
        </row>
        <row r="65">
          <cell r="J65">
            <v>2119898</v>
          </cell>
        </row>
        <row r="67">
          <cell r="J67">
            <v>18313063</v>
          </cell>
        </row>
        <row r="73">
          <cell r="J73">
            <v>134929343</v>
          </cell>
        </row>
        <row r="77">
          <cell r="J77">
            <v>8801043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pr13loa"/>
    </sheetNames>
    <sheetDataSet>
      <sheetData sheetId="0">
        <row r="10">
          <cell r="I10">
            <v>5135758</v>
          </cell>
        </row>
        <row r="19">
          <cell r="I19">
            <v>1006835</v>
          </cell>
        </row>
        <row r="23">
          <cell r="I23">
            <v>204714</v>
          </cell>
        </row>
        <row r="25">
          <cell r="J25">
            <v>642788</v>
          </cell>
        </row>
        <row r="30">
          <cell r="I30">
            <v>287033</v>
          </cell>
        </row>
        <row r="31">
          <cell r="I31">
            <v>5464026</v>
          </cell>
        </row>
        <row r="32">
          <cell r="I32">
            <v>0</v>
          </cell>
        </row>
        <row r="33">
          <cell r="I33">
            <v>237553</v>
          </cell>
        </row>
        <row r="34">
          <cell r="I34">
            <v>220109</v>
          </cell>
        </row>
        <row r="35">
          <cell r="I35">
            <v>463814</v>
          </cell>
        </row>
        <row r="36">
          <cell r="I36">
            <v>219239</v>
          </cell>
        </row>
        <row r="37">
          <cell r="I37">
            <v>887956</v>
          </cell>
        </row>
        <row r="38">
          <cell r="I38">
            <v>783303</v>
          </cell>
        </row>
        <row r="39">
          <cell r="I39">
            <v>3202949</v>
          </cell>
        </row>
        <row r="42">
          <cell r="I42">
            <v>20604152</v>
          </cell>
        </row>
        <row r="43">
          <cell r="I43">
            <v>1731656</v>
          </cell>
        </row>
        <row r="44">
          <cell r="I44">
            <v>312272</v>
          </cell>
        </row>
        <row r="46">
          <cell r="J46">
            <v>2459945</v>
          </cell>
        </row>
        <row r="49">
          <cell r="I49">
            <v>5587110</v>
          </cell>
        </row>
        <row r="50">
          <cell r="I50">
            <v>410474</v>
          </cell>
        </row>
        <row r="51">
          <cell r="I51">
            <v>6952522</v>
          </cell>
        </row>
        <row r="53">
          <cell r="J53">
            <v>11632572</v>
          </cell>
        </row>
        <row r="56">
          <cell r="I56">
            <v>6909205</v>
          </cell>
        </row>
        <row r="57">
          <cell r="I57">
            <v>58</v>
          </cell>
        </row>
        <row r="58">
          <cell r="I58">
            <v>17277168</v>
          </cell>
        </row>
        <row r="59">
          <cell r="I59">
            <v>660339</v>
          </cell>
        </row>
        <row r="61">
          <cell r="J61">
            <v>42197121</v>
          </cell>
        </row>
        <row r="63">
          <cell r="J63">
            <v>24978743</v>
          </cell>
        </row>
        <row r="65">
          <cell r="J65">
            <v>1931617</v>
          </cell>
        </row>
        <row r="67">
          <cell r="J67">
            <v>18174909</v>
          </cell>
        </row>
        <row r="73">
          <cell r="J73">
            <v>137132750</v>
          </cell>
        </row>
        <row r="77">
          <cell r="J77">
            <v>8829676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ay13loa"/>
    </sheetNames>
    <sheetDataSet>
      <sheetData sheetId="0">
        <row r="10">
          <cell r="I10">
            <v>5013805</v>
          </cell>
        </row>
        <row r="19">
          <cell r="I19">
            <v>1047717</v>
          </cell>
        </row>
        <row r="23">
          <cell r="I23">
            <v>201833</v>
          </cell>
        </row>
        <row r="25">
          <cell r="J25">
            <v>650984</v>
          </cell>
        </row>
        <row r="30">
          <cell r="I30">
            <v>272815</v>
          </cell>
        </row>
        <row r="31">
          <cell r="I31">
            <v>4690327</v>
          </cell>
        </row>
        <row r="32">
          <cell r="I32">
            <v>0</v>
          </cell>
        </row>
        <row r="33">
          <cell r="I33">
            <v>246559</v>
          </cell>
        </row>
        <row r="34">
          <cell r="I34">
            <v>217457</v>
          </cell>
        </row>
        <row r="35">
          <cell r="I35">
            <v>465433</v>
          </cell>
        </row>
        <row r="36">
          <cell r="I36">
            <v>221349</v>
          </cell>
        </row>
        <row r="37">
          <cell r="I37">
            <v>878617</v>
          </cell>
        </row>
        <row r="38">
          <cell r="I38">
            <v>778966</v>
          </cell>
        </row>
        <row r="39">
          <cell r="I39">
            <v>3147469</v>
          </cell>
        </row>
        <row r="42">
          <cell r="I42">
            <v>20691649</v>
          </cell>
        </row>
        <row r="43">
          <cell r="I43">
            <v>1709595</v>
          </cell>
        </row>
        <row r="44">
          <cell r="I44">
            <v>310249</v>
          </cell>
        </row>
        <row r="46">
          <cell r="J46">
            <v>2488517</v>
          </cell>
        </row>
        <row r="49">
          <cell r="I49">
            <v>5455082</v>
          </cell>
        </row>
        <row r="50">
          <cell r="I50">
            <v>405643</v>
          </cell>
        </row>
        <row r="51">
          <cell r="I51">
            <v>6504254</v>
          </cell>
        </row>
        <row r="53">
          <cell r="J53">
            <v>11728218</v>
          </cell>
        </row>
        <row r="56">
          <cell r="I56">
            <v>7116718</v>
          </cell>
        </row>
        <row r="57">
          <cell r="I57">
            <v>62</v>
          </cell>
        </row>
        <row r="58">
          <cell r="I58">
            <v>17914878</v>
          </cell>
        </row>
        <row r="59">
          <cell r="I59">
            <v>651140</v>
          </cell>
        </row>
        <row r="61">
          <cell r="J61">
            <v>42956530</v>
          </cell>
        </row>
        <row r="63">
          <cell r="J63">
            <v>26444595</v>
          </cell>
        </row>
        <row r="65">
          <cell r="J65">
            <v>1972764</v>
          </cell>
        </row>
        <row r="67">
          <cell r="J67">
            <v>18489534</v>
          </cell>
        </row>
        <row r="73">
          <cell r="J73">
            <v>138917586</v>
          </cell>
        </row>
        <row r="77">
          <cell r="J77">
            <v>8626187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10loa"/>
    </sheetNames>
    <sheetDataSet>
      <sheetData sheetId="0">
        <row r="10">
          <cell r="I10">
            <v>5764449</v>
          </cell>
        </row>
        <row r="19">
          <cell r="I19">
            <v>129395</v>
          </cell>
        </row>
        <row r="23">
          <cell r="I23">
            <v>398</v>
          </cell>
        </row>
        <row r="25">
          <cell r="J25">
            <v>360178</v>
          </cell>
        </row>
        <row r="30">
          <cell r="I30">
            <v>307942</v>
          </cell>
        </row>
        <row r="31">
          <cell r="I31">
            <v>2586120</v>
          </cell>
        </row>
        <row r="32">
          <cell r="I32">
            <v>606</v>
          </cell>
        </row>
        <row r="33">
          <cell r="I33">
            <v>116654</v>
          </cell>
        </row>
        <row r="34">
          <cell r="I34">
            <v>161989</v>
          </cell>
        </row>
        <row r="35">
          <cell r="I35">
            <v>456544</v>
          </cell>
        </row>
        <row r="36">
          <cell r="I36">
            <v>345213</v>
          </cell>
        </row>
        <row r="37">
          <cell r="I37">
            <v>993992</v>
          </cell>
        </row>
        <row r="38">
          <cell r="I38">
            <v>863045</v>
          </cell>
        </row>
        <row r="39">
          <cell r="I39">
            <v>3312603</v>
          </cell>
        </row>
        <row r="42">
          <cell r="I42">
            <v>15193395</v>
          </cell>
        </row>
        <row r="43">
          <cell r="I43">
            <v>1238768</v>
          </cell>
        </row>
        <row r="44">
          <cell r="I44">
            <v>223452</v>
          </cell>
        </row>
        <row r="46">
          <cell r="J46">
            <v>975413</v>
          </cell>
        </row>
        <row r="49">
          <cell r="I49">
            <v>4521770</v>
          </cell>
        </row>
        <row r="50">
          <cell r="I50">
            <v>317309</v>
          </cell>
        </row>
        <row r="51">
          <cell r="I51">
            <v>2848558</v>
          </cell>
        </row>
        <row r="53">
          <cell r="J53">
            <v>4695374</v>
          </cell>
        </row>
        <row r="56">
          <cell r="I56">
            <v>16044544</v>
          </cell>
        </row>
        <row r="57">
          <cell r="I57">
            <v>3879</v>
          </cell>
        </row>
        <row r="58">
          <cell r="I58">
            <v>18824329</v>
          </cell>
        </row>
        <row r="59">
          <cell r="I59">
            <v>1237094</v>
          </cell>
        </row>
        <row r="61">
          <cell r="J61">
            <v>23810142</v>
          </cell>
        </row>
        <row r="63">
          <cell r="J63">
            <v>39793815</v>
          </cell>
        </row>
        <row r="65">
          <cell r="J65">
            <v>545850</v>
          </cell>
        </row>
        <row r="67">
          <cell r="J67">
            <v>16821550</v>
          </cell>
        </row>
        <row r="73">
          <cell r="J73">
            <v>82836284</v>
          </cell>
        </row>
        <row r="77">
          <cell r="J77">
            <v>7041876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Jun13loa"/>
    </sheetNames>
    <sheetDataSet>
      <sheetData sheetId="0">
        <row r="10">
          <cell r="I10">
            <v>5067590</v>
          </cell>
        </row>
        <row r="19">
          <cell r="I19">
            <v>1018271</v>
          </cell>
        </row>
        <row r="23">
          <cell r="I23">
            <v>198952</v>
          </cell>
        </row>
        <row r="25">
          <cell r="J25">
            <v>564011</v>
          </cell>
        </row>
        <row r="30">
          <cell r="I30">
            <v>268361</v>
          </cell>
        </row>
        <row r="31">
          <cell r="I31">
            <v>4716136</v>
          </cell>
        </row>
        <row r="32">
          <cell r="I32">
            <v>67</v>
          </cell>
        </row>
        <row r="33">
          <cell r="I33">
            <v>243345</v>
          </cell>
        </row>
        <row r="34">
          <cell r="I34">
            <v>245156</v>
          </cell>
        </row>
        <row r="35">
          <cell r="I35">
            <v>481836</v>
          </cell>
        </row>
        <row r="36">
          <cell r="I36">
            <v>217071</v>
          </cell>
        </row>
        <row r="37">
          <cell r="I37">
            <v>862969</v>
          </cell>
        </row>
        <row r="38">
          <cell r="I38">
            <v>765494</v>
          </cell>
        </row>
        <row r="39">
          <cell r="I39">
            <v>3164998</v>
          </cell>
        </row>
        <row r="42">
          <cell r="I42">
            <v>20472201</v>
          </cell>
        </row>
        <row r="43">
          <cell r="I43">
            <v>1708878</v>
          </cell>
        </row>
        <row r="44">
          <cell r="I44">
            <v>308994</v>
          </cell>
        </row>
        <row r="46">
          <cell r="J46">
            <v>2507751</v>
          </cell>
        </row>
        <row r="49">
          <cell r="I49">
            <v>5483452</v>
          </cell>
        </row>
        <row r="50">
          <cell r="I50">
            <v>396119</v>
          </cell>
        </row>
        <row r="51">
          <cell r="I51">
            <v>6767974</v>
          </cell>
        </row>
        <row r="53">
          <cell r="J53">
            <v>11456700</v>
          </cell>
        </row>
        <row r="56">
          <cell r="I56">
            <v>7417377</v>
          </cell>
        </row>
        <row r="57">
          <cell r="I57">
            <v>61</v>
          </cell>
        </row>
        <row r="58">
          <cell r="I58">
            <v>18180586</v>
          </cell>
        </row>
        <row r="59">
          <cell r="I59">
            <v>658223</v>
          </cell>
        </row>
        <row r="61">
          <cell r="J61">
            <v>43694598</v>
          </cell>
        </row>
        <row r="63">
          <cell r="J63">
            <v>26555704</v>
          </cell>
        </row>
        <row r="65">
          <cell r="J65">
            <v>1962582</v>
          </cell>
        </row>
        <row r="67">
          <cell r="J67">
            <v>19240649</v>
          </cell>
        </row>
        <row r="73">
          <cell r="J73">
            <v>140528385</v>
          </cell>
        </row>
        <row r="77">
          <cell r="J77">
            <v>8736545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Jul13loa"/>
    </sheetNames>
    <sheetDataSet>
      <sheetData sheetId="0">
        <row r="10">
          <cell r="I10">
            <v>5157274</v>
          </cell>
        </row>
        <row r="19">
          <cell r="I19">
            <v>1000795</v>
          </cell>
        </row>
        <row r="23">
          <cell r="I23">
            <v>193690</v>
          </cell>
        </row>
        <row r="25">
          <cell r="J25">
            <v>680576</v>
          </cell>
        </row>
        <row r="30">
          <cell r="I30">
            <v>50083</v>
          </cell>
        </row>
        <row r="31">
          <cell r="I31">
            <v>4798150</v>
          </cell>
        </row>
        <row r="32">
          <cell r="I32">
            <v>0</v>
          </cell>
        </row>
        <row r="33">
          <cell r="I33">
            <v>234902</v>
          </cell>
        </row>
        <row r="34">
          <cell r="I34">
            <v>239744</v>
          </cell>
        </row>
        <row r="35">
          <cell r="I35">
            <v>469853</v>
          </cell>
        </row>
        <row r="36">
          <cell r="I36">
            <v>218139</v>
          </cell>
        </row>
        <row r="37">
          <cell r="I37">
            <v>853423</v>
          </cell>
        </row>
        <row r="38">
          <cell r="I38">
            <v>737924</v>
          </cell>
        </row>
        <row r="39">
          <cell r="I39">
            <v>3164563</v>
          </cell>
        </row>
        <row r="42">
          <cell r="I42">
            <v>20531913</v>
          </cell>
        </row>
        <row r="43">
          <cell r="I43">
            <v>1698460</v>
          </cell>
        </row>
        <row r="44">
          <cell r="I44">
            <v>305086</v>
          </cell>
        </row>
        <row r="46">
          <cell r="J46">
            <v>2700416</v>
          </cell>
        </row>
        <row r="49">
          <cell r="I49">
            <v>5567263</v>
          </cell>
        </row>
        <row r="50">
          <cell r="I50">
            <v>397238</v>
          </cell>
        </row>
        <row r="51">
          <cell r="I51">
            <v>6610793</v>
          </cell>
        </row>
        <row r="53">
          <cell r="J53">
            <v>11368500</v>
          </cell>
        </row>
        <row r="56">
          <cell r="I56">
            <v>7470145</v>
          </cell>
        </row>
        <row r="57">
          <cell r="I57">
            <v>4</v>
          </cell>
        </row>
        <row r="58">
          <cell r="I58">
            <v>17590403</v>
          </cell>
        </row>
        <row r="59">
          <cell r="I59">
            <v>631991</v>
          </cell>
        </row>
        <row r="61">
          <cell r="J61">
            <v>44899964</v>
          </cell>
        </row>
        <row r="63">
          <cell r="J63">
            <v>27832736</v>
          </cell>
        </row>
        <row r="65">
          <cell r="J65">
            <v>1998205</v>
          </cell>
        </row>
        <row r="67">
          <cell r="J67">
            <v>19416007</v>
          </cell>
        </row>
        <row r="73">
          <cell r="J73">
            <v>141723088</v>
          </cell>
        </row>
        <row r="77">
          <cell r="J77">
            <v>8747912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ug13loa"/>
    </sheetNames>
    <sheetDataSet>
      <sheetData sheetId="0">
        <row r="10">
          <cell r="I10">
            <v>6285365</v>
          </cell>
        </row>
        <row r="19">
          <cell r="I19">
            <v>1310801</v>
          </cell>
        </row>
        <row r="23">
          <cell r="I23">
            <v>197322</v>
          </cell>
        </row>
        <row r="25">
          <cell r="J25">
            <v>720395</v>
          </cell>
        </row>
        <row r="30">
          <cell r="I30">
            <v>486660</v>
          </cell>
        </row>
        <row r="31">
          <cell r="I31">
            <v>4186606</v>
          </cell>
        </row>
        <row r="32">
          <cell r="I32">
            <v>0</v>
          </cell>
        </row>
        <row r="33">
          <cell r="I33">
            <v>232555</v>
          </cell>
        </row>
        <row r="34">
          <cell r="I34">
            <v>235222</v>
          </cell>
        </row>
        <row r="35">
          <cell r="I35">
            <v>468920</v>
          </cell>
        </row>
        <row r="36">
          <cell r="I36">
            <v>225618</v>
          </cell>
        </row>
        <row r="37">
          <cell r="I37">
            <v>1085717</v>
          </cell>
        </row>
        <row r="38">
          <cell r="I38">
            <v>690601</v>
          </cell>
        </row>
        <row r="39">
          <cell r="I39">
            <v>3130123</v>
          </cell>
        </row>
        <row r="42">
          <cell r="I42">
            <v>20559033</v>
          </cell>
        </row>
        <row r="43">
          <cell r="I43">
            <v>1698444</v>
          </cell>
        </row>
        <row r="44">
          <cell r="I44">
            <v>302412</v>
          </cell>
        </row>
        <row r="46">
          <cell r="J46">
            <v>2685370</v>
          </cell>
        </row>
        <row r="49">
          <cell r="I49">
            <v>5498948</v>
          </cell>
        </row>
        <row r="50">
          <cell r="I50">
            <v>387886</v>
          </cell>
        </row>
        <row r="51">
          <cell r="I51">
            <v>6625815</v>
          </cell>
        </row>
        <row r="53">
          <cell r="J53">
            <v>11073502</v>
          </cell>
        </row>
        <row r="56">
          <cell r="I56">
            <v>7355126</v>
          </cell>
        </row>
        <row r="57">
          <cell r="I57">
            <v>3</v>
          </cell>
        </row>
        <row r="58">
          <cell r="I58">
            <v>18645960</v>
          </cell>
        </row>
        <row r="59">
          <cell r="I59">
            <v>629043</v>
          </cell>
        </row>
        <row r="61">
          <cell r="J61">
            <v>43596862</v>
          </cell>
        </row>
        <row r="63">
          <cell r="J63">
            <v>27657710</v>
          </cell>
        </row>
        <row r="65">
          <cell r="J65">
            <v>2005390</v>
          </cell>
        </row>
        <row r="67">
          <cell r="J67">
            <v>20092776</v>
          </cell>
        </row>
        <row r="73">
          <cell r="J73">
            <v>150975331</v>
          </cell>
        </row>
        <row r="77">
          <cell r="J77">
            <v>9347353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p13loa"/>
    </sheetNames>
    <sheetDataSet>
      <sheetData sheetId="0">
        <row r="10">
          <cell r="I10">
            <v>6516936</v>
          </cell>
        </row>
        <row r="19">
          <cell r="I19">
            <v>1299132</v>
          </cell>
        </row>
        <row r="23">
          <cell r="I23">
            <v>191993</v>
          </cell>
        </row>
        <row r="25">
          <cell r="J25">
            <v>698120</v>
          </cell>
        </row>
        <row r="30">
          <cell r="I30">
            <v>490729</v>
          </cell>
        </row>
        <row r="31">
          <cell r="I31">
            <v>4274670</v>
          </cell>
        </row>
        <row r="32">
          <cell r="I32">
            <v>0</v>
          </cell>
        </row>
        <row r="33">
          <cell r="I33">
            <v>242425</v>
          </cell>
        </row>
        <row r="34">
          <cell r="I34">
            <v>230939</v>
          </cell>
        </row>
        <row r="35">
          <cell r="I35">
            <v>476134</v>
          </cell>
        </row>
        <row r="36">
          <cell r="I36">
            <v>181339</v>
          </cell>
        </row>
        <row r="37">
          <cell r="I37">
            <v>1039366</v>
          </cell>
        </row>
        <row r="38">
          <cell r="I38">
            <v>692695</v>
          </cell>
        </row>
        <row r="39">
          <cell r="I39">
            <v>3133696</v>
          </cell>
        </row>
        <row r="42">
          <cell r="I42">
            <v>21038728</v>
          </cell>
        </row>
        <row r="43">
          <cell r="I43">
            <v>1692884</v>
          </cell>
        </row>
        <row r="44">
          <cell r="I44">
            <v>300087</v>
          </cell>
        </row>
        <row r="46">
          <cell r="J46">
            <v>2901913</v>
          </cell>
        </row>
        <row r="49">
          <cell r="I49">
            <v>5665517</v>
          </cell>
        </row>
        <row r="50">
          <cell r="I50">
            <v>374367</v>
          </cell>
        </row>
        <row r="51">
          <cell r="I51">
            <v>6670304</v>
          </cell>
        </row>
        <row r="53">
          <cell r="J53">
            <v>11538427</v>
          </cell>
        </row>
        <row r="56">
          <cell r="I56">
            <v>7389084</v>
          </cell>
        </row>
        <row r="57">
          <cell r="I57">
            <v>14</v>
          </cell>
        </row>
        <row r="58">
          <cell r="I58">
            <v>21657767</v>
          </cell>
        </row>
        <row r="59">
          <cell r="I59">
            <v>620506</v>
          </cell>
        </row>
        <row r="61">
          <cell r="J61">
            <v>43966346</v>
          </cell>
        </row>
        <row r="63">
          <cell r="J63">
            <v>28350649</v>
          </cell>
        </row>
        <row r="65">
          <cell r="J65">
            <v>2033105</v>
          </cell>
        </row>
        <row r="67">
          <cell r="J67">
            <v>20282974</v>
          </cell>
        </row>
        <row r="73">
          <cell r="J73">
            <v>152266451</v>
          </cell>
        </row>
        <row r="77">
          <cell r="J77">
            <v>9548873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Oct13loa"/>
    </sheetNames>
    <sheetDataSet>
      <sheetData sheetId="0">
        <row r="10">
          <cell r="I10">
            <v>6307660</v>
          </cell>
        </row>
        <row r="19">
          <cell r="I19">
            <v>1255888</v>
          </cell>
        </row>
        <row r="23">
          <cell r="I23">
            <v>189043</v>
          </cell>
        </row>
        <row r="25">
          <cell r="J25">
            <v>582592</v>
          </cell>
        </row>
        <row r="30">
          <cell r="I30">
            <v>755811</v>
          </cell>
        </row>
        <row r="31">
          <cell r="I31">
            <v>4294294</v>
          </cell>
        </row>
        <row r="32">
          <cell r="I32">
            <v>0</v>
          </cell>
        </row>
        <row r="33">
          <cell r="I33">
            <v>245154</v>
          </cell>
        </row>
        <row r="34">
          <cell r="I34">
            <v>212417</v>
          </cell>
        </row>
        <row r="35">
          <cell r="I35">
            <v>537276</v>
          </cell>
        </row>
        <row r="36">
          <cell r="I36">
            <v>187891</v>
          </cell>
        </row>
        <row r="37">
          <cell r="I37">
            <v>1014420</v>
          </cell>
        </row>
        <row r="38">
          <cell r="I38">
            <v>696295</v>
          </cell>
        </row>
        <row r="39">
          <cell r="I39">
            <v>3095447</v>
          </cell>
        </row>
        <row r="42">
          <cell r="I42">
            <v>21418111</v>
          </cell>
        </row>
        <row r="43">
          <cell r="I43">
            <v>1161050</v>
          </cell>
        </row>
        <row r="44">
          <cell r="I44">
            <v>292870</v>
          </cell>
        </row>
        <row r="46">
          <cell r="J46">
            <v>2590061</v>
          </cell>
        </row>
        <row r="49">
          <cell r="I49">
            <v>5695238</v>
          </cell>
        </row>
        <row r="50">
          <cell r="I50">
            <v>369725</v>
          </cell>
        </row>
        <row r="51">
          <cell r="I51">
            <v>6739007</v>
          </cell>
        </row>
        <row r="53">
          <cell r="J53">
            <v>11319658</v>
          </cell>
        </row>
        <row r="56">
          <cell r="I56">
            <v>7248086</v>
          </cell>
        </row>
        <row r="57">
          <cell r="I57">
            <v>2</v>
          </cell>
        </row>
        <row r="58">
          <cell r="I58">
            <v>20298339</v>
          </cell>
        </row>
        <row r="59">
          <cell r="I59">
            <v>570410</v>
          </cell>
        </row>
        <row r="61">
          <cell r="J61">
            <v>44273528</v>
          </cell>
        </row>
        <row r="63">
          <cell r="J63">
            <v>28770365</v>
          </cell>
        </row>
        <row r="65">
          <cell r="J65">
            <v>2088181</v>
          </cell>
        </row>
        <row r="67">
          <cell r="J67">
            <v>20401327</v>
          </cell>
        </row>
        <row r="73">
          <cell r="J73">
            <v>153219906</v>
          </cell>
        </row>
        <row r="77">
          <cell r="J77">
            <v>9564119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Nov13loa"/>
    </sheetNames>
    <sheetDataSet>
      <sheetData sheetId="0">
        <row r="10">
          <cell r="I10">
            <v>6511773</v>
          </cell>
        </row>
        <row r="19">
          <cell r="I19">
            <v>1260244</v>
          </cell>
        </row>
        <row r="23">
          <cell r="I23">
            <v>183093</v>
          </cell>
        </row>
        <row r="25">
          <cell r="J25">
            <v>751769</v>
          </cell>
        </row>
        <row r="30">
          <cell r="I30">
            <v>755389</v>
          </cell>
        </row>
        <row r="31">
          <cell r="I31">
            <v>4449921</v>
          </cell>
        </row>
        <row r="32">
          <cell r="I32">
            <v>0</v>
          </cell>
        </row>
        <row r="33">
          <cell r="I33">
            <v>247036</v>
          </cell>
        </row>
        <row r="34">
          <cell r="I34">
            <v>219748</v>
          </cell>
        </row>
        <row r="35">
          <cell r="I35">
            <v>531958</v>
          </cell>
        </row>
        <row r="36">
          <cell r="I36">
            <v>189178</v>
          </cell>
        </row>
        <row r="37">
          <cell r="I37">
            <v>986227</v>
          </cell>
        </row>
        <row r="38">
          <cell r="I38">
            <v>674119</v>
          </cell>
        </row>
        <row r="39">
          <cell r="I39">
            <v>3098239</v>
          </cell>
        </row>
        <row r="42">
          <cell r="I42">
            <v>21811684</v>
          </cell>
        </row>
        <row r="43">
          <cell r="I43">
            <v>1159210</v>
          </cell>
        </row>
        <row r="44">
          <cell r="I44">
            <v>252332</v>
          </cell>
        </row>
        <row r="46">
          <cell r="J46">
            <v>2813016</v>
          </cell>
        </row>
        <row r="49">
          <cell r="I49">
            <v>5746960</v>
          </cell>
        </row>
        <row r="50">
          <cell r="I50">
            <v>350687</v>
          </cell>
        </row>
        <row r="51">
          <cell r="I51">
            <v>6738394</v>
          </cell>
        </row>
        <row r="53">
          <cell r="J53">
            <v>11678574</v>
          </cell>
        </row>
        <row r="56">
          <cell r="I56">
            <v>7272494</v>
          </cell>
        </row>
        <row r="57">
          <cell r="I57">
            <v>243</v>
          </cell>
        </row>
        <row r="58">
          <cell r="I58">
            <v>21650444</v>
          </cell>
        </row>
        <row r="59">
          <cell r="I59">
            <v>562671</v>
          </cell>
        </row>
        <row r="61">
          <cell r="J61">
            <v>44471322</v>
          </cell>
        </row>
        <row r="63">
          <cell r="J63">
            <v>28905617</v>
          </cell>
        </row>
        <row r="65">
          <cell r="J65">
            <v>2059571</v>
          </cell>
        </row>
        <row r="67">
          <cell r="J67">
            <v>20776240</v>
          </cell>
        </row>
        <row r="73">
          <cell r="J73">
            <v>154387713</v>
          </cell>
        </row>
        <row r="77">
          <cell r="J77">
            <v>11056620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ec13loa"/>
    </sheetNames>
    <sheetDataSet>
      <sheetData sheetId="0">
        <row r="10">
          <cell r="I10">
            <v>6306724</v>
          </cell>
        </row>
        <row r="19">
          <cell r="I19">
            <v>1248785</v>
          </cell>
        </row>
        <row r="23">
          <cell r="I23">
            <v>178262</v>
          </cell>
        </row>
        <row r="25">
          <cell r="J25">
            <v>747665</v>
          </cell>
        </row>
        <row r="30">
          <cell r="I30">
            <v>752464</v>
          </cell>
        </row>
        <row r="31">
          <cell r="I31">
            <v>5380108</v>
          </cell>
        </row>
        <row r="32">
          <cell r="I32">
            <v>0</v>
          </cell>
        </row>
        <row r="33">
          <cell r="I33">
            <v>267076</v>
          </cell>
        </row>
        <row r="34">
          <cell r="I34">
            <v>192755</v>
          </cell>
        </row>
        <row r="35">
          <cell r="I35">
            <v>529578</v>
          </cell>
        </row>
        <row r="36">
          <cell r="I36">
            <v>214530</v>
          </cell>
        </row>
        <row r="37">
          <cell r="I37">
            <v>941606</v>
          </cell>
        </row>
        <row r="38">
          <cell r="I38">
            <v>647356</v>
          </cell>
        </row>
        <row r="39">
          <cell r="I39">
            <v>3683370</v>
          </cell>
        </row>
        <row r="42">
          <cell r="I42">
            <v>21822377</v>
          </cell>
        </row>
        <row r="43">
          <cell r="I43">
            <v>1145622</v>
          </cell>
        </row>
        <row r="44">
          <cell r="I44">
            <v>249878</v>
          </cell>
        </row>
        <row r="46">
          <cell r="J46">
            <v>3090795</v>
          </cell>
        </row>
        <row r="49">
          <cell r="I49">
            <v>6221830</v>
          </cell>
        </row>
        <row r="50">
          <cell r="I50">
            <v>347563</v>
          </cell>
        </row>
        <row r="51">
          <cell r="I51">
            <v>6768858</v>
          </cell>
        </row>
        <row r="53">
          <cell r="J53">
            <v>12015418</v>
          </cell>
        </row>
        <row r="56">
          <cell r="I56">
            <v>7067298</v>
          </cell>
        </row>
        <row r="57">
          <cell r="I57">
            <v>6</v>
          </cell>
        </row>
        <row r="58">
          <cell r="I58">
            <v>20495732</v>
          </cell>
        </row>
        <row r="59">
          <cell r="I59">
            <v>472616</v>
          </cell>
        </row>
        <row r="61">
          <cell r="J61">
            <v>43966842</v>
          </cell>
        </row>
        <row r="63">
          <cell r="J63">
            <v>27535107</v>
          </cell>
        </row>
        <row r="65">
          <cell r="J65">
            <v>2045651</v>
          </cell>
        </row>
        <row r="67">
          <cell r="J67">
            <v>20410044</v>
          </cell>
        </row>
        <row r="73">
          <cell r="J73">
            <v>156312678</v>
          </cell>
        </row>
        <row r="77">
          <cell r="J77">
            <v>11058328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Jan14loa"/>
    </sheetNames>
    <sheetDataSet>
      <sheetData sheetId="0">
        <row r="10">
          <cell r="I10">
            <v>5903817</v>
          </cell>
        </row>
        <row r="19">
          <cell r="I19">
            <v>1062324</v>
          </cell>
        </row>
        <row r="23">
          <cell r="I23">
            <v>478262</v>
          </cell>
        </row>
        <row r="25">
          <cell r="J25">
            <v>669189</v>
          </cell>
        </row>
        <row r="30">
          <cell r="I30">
            <v>987600</v>
          </cell>
        </row>
        <row r="31">
          <cell r="I31">
            <v>5332109</v>
          </cell>
        </row>
        <row r="32">
          <cell r="I32">
            <v>0</v>
          </cell>
        </row>
        <row r="33">
          <cell r="I33">
            <v>254285</v>
          </cell>
        </row>
        <row r="34">
          <cell r="I34">
            <v>193399</v>
          </cell>
        </row>
        <row r="35">
          <cell r="I35">
            <v>528692</v>
          </cell>
        </row>
        <row r="36">
          <cell r="I36">
            <v>204629</v>
          </cell>
        </row>
        <row r="37">
          <cell r="I37">
            <v>902750</v>
          </cell>
        </row>
        <row r="38">
          <cell r="I38">
            <v>655485</v>
          </cell>
        </row>
        <row r="39">
          <cell r="I39">
            <v>3966954</v>
          </cell>
        </row>
        <row r="42">
          <cell r="I42">
            <v>21454928</v>
          </cell>
        </row>
        <row r="43">
          <cell r="I43">
            <v>1161270</v>
          </cell>
        </row>
        <row r="44">
          <cell r="I44">
            <v>248126</v>
          </cell>
        </row>
        <row r="46">
          <cell r="J46">
            <v>2977530</v>
          </cell>
        </row>
        <row r="49">
          <cell r="I49">
            <v>6604373</v>
          </cell>
        </row>
        <row r="50">
          <cell r="I50">
            <v>338021</v>
          </cell>
        </row>
        <row r="51">
          <cell r="I51">
            <v>6733322</v>
          </cell>
        </row>
        <row r="53">
          <cell r="J53">
            <v>9857941</v>
          </cell>
        </row>
        <row r="56">
          <cell r="I56">
            <v>3689407</v>
          </cell>
        </row>
        <row r="57">
          <cell r="I57">
            <v>11</v>
          </cell>
        </row>
        <row r="58">
          <cell r="I58">
            <v>21750638</v>
          </cell>
        </row>
        <row r="59">
          <cell r="I59">
            <v>603285</v>
          </cell>
        </row>
        <row r="61">
          <cell r="J61">
            <v>44108662</v>
          </cell>
        </row>
        <row r="63">
          <cell r="J63">
            <v>27585691</v>
          </cell>
        </row>
        <row r="65">
          <cell r="J65">
            <v>2037408</v>
          </cell>
        </row>
        <row r="67">
          <cell r="J67">
            <v>20416658</v>
          </cell>
        </row>
        <row r="73">
          <cell r="J73">
            <v>156071711</v>
          </cell>
        </row>
        <row r="77">
          <cell r="J77">
            <v>12161249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eb14loa"/>
    </sheetNames>
    <sheetDataSet>
      <sheetData sheetId="0">
        <row r="10">
          <cell r="I10">
            <v>5763371</v>
          </cell>
        </row>
        <row r="19">
          <cell r="I19">
            <v>1033566</v>
          </cell>
        </row>
        <row r="23">
          <cell r="I23">
            <v>477772</v>
          </cell>
        </row>
        <row r="25">
          <cell r="J25">
            <v>704790</v>
          </cell>
        </row>
        <row r="30">
          <cell r="I30">
            <v>1069110</v>
          </cell>
        </row>
        <row r="31">
          <cell r="I31">
            <v>5250618</v>
          </cell>
        </row>
        <row r="32">
          <cell r="I32">
            <v>0</v>
          </cell>
        </row>
        <row r="33">
          <cell r="I33">
            <v>258922</v>
          </cell>
        </row>
        <row r="34">
          <cell r="I34">
            <v>187893</v>
          </cell>
        </row>
        <row r="35">
          <cell r="I35">
            <v>501575</v>
          </cell>
        </row>
        <row r="36">
          <cell r="I36">
            <v>219198</v>
          </cell>
        </row>
        <row r="37">
          <cell r="I37">
            <v>921099</v>
          </cell>
        </row>
        <row r="38">
          <cell r="I38">
            <v>612586</v>
          </cell>
        </row>
        <row r="39">
          <cell r="I39">
            <v>3971233</v>
          </cell>
        </row>
        <row r="42">
          <cell r="I42">
            <v>21625391</v>
          </cell>
        </row>
        <row r="43">
          <cell r="I43">
            <v>1197532</v>
          </cell>
        </row>
        <row r="44">
          <cell r="I44">
            <v>243428</v>
          </cell>
        </row>
        <row r="46">
          <cell r="J46">
            <v>2995860</v>
          </cell>
        </row>
        <row r="49">
          <cell r="I49">
            <v>6822413</v>
          </cell>
        </row>
        <row r="50">
          <cell r="I50">
            <v>331064</v>
          </cell>
        </row>
        <row r="51">
          <cell r="I51">
            <v>7057307</v>
          </cell>
        </row>
        <row r="53">
          <cell r="J53">
            <v>10980172</v>
          </cell>
        </row>
        <row r="56">
          <cell r="I56">
            <v>3727323</v>
          </cell>
        </row>
        <row r="57">
          <cell r="I57">
            <v>6</v>
          </cell>
        </row>
        <row r="58">
          <cell r="I58">
            <v>23316138</v>
          </cell>
        </row>
        <row r="59">
          <cell r="I59">
            <v>655229</v>
          </cell>
        </row>
        <row r="61">
          <cell r="J61">
            <v>44405658</v>
          </cell>
        </row>
        <row r="63">
          <cell r="J63">
            <v>27438168</v>
          </cell>
        </row>
        <row r="65">
          <cell r="J65">
            <v>2041407</v>
          </cell>
        </row>
        <row r="67">
          <cell r="J67">
            <v>20683424</v>
          </cell>
        </row>
        <row r="73">
          <cell r="J73">
            <v>157769541</v>
          </cell>
        </row>
        <row r="77">
          <cell r="J77">
            <v>12254227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r14loa"/>
    </sheetNames>
    <sheetDataSet>
      <sheetData sheetId="0">
        <row r="10">
          <cell r="I10">
            <v>5705605</v>
          </cell>
        </row>
        <row r="19">
          <cell r="I19">
            <v>1168697</v>
          </cell>
        </row>
        <row r="23">
          <cell r="I23">
            <v>470293</v>
          </cell>
        </row>
        <row r="25">
          <cell r="J25">
            <v>704846</v>
          </cell>
        </row>
        <row r="30">
          <cell r="I30">
            <v>1012345</v>
          </cell>
        </row>
        <row r="31">
          <cell r="I31">
            <v>5687980</v>
          </cell>
        </row>
        <row r="32">
          <cell r="I32">
            <v>0</v>
          </cell>
        </row>
        <row r="33">
          <cell r="I33">
            <v>260288</v>
          </cell>
        </row>
        <row r="34">
          <cell r="I34">
            <v>177768</v>
          </cell>
        </row>
        <row r="35">
          <cell r="I35">
            <v>570624</v>
          </cell>
        </row>
        <row r="36">
          <cell r="I36">
            <v>203208</v>
          </cell>
        </row>
        <row r="37">
          <cell r="I37">
            <v>880906</v>
          </cell>
        </row>
        <row r="38">
          <cell r="I38">
            <v>615818</v>
          </cell>
        </row>
        <row r="39">
          <cell r="I39">
            <v>3875343</v>
          </cell>
        </row>
        <row r="42">
          <cell r="I42">
            <v>21620166</v>
          </cell>
        </row>
        <row r="43">
          <cell r="I43">
            <v>1195447</v>
          </cell>
        </row>
        <row r="44">
          <cell r="I44">
            <v>241068</v>
          </cell>
        </row>
        <row r="46">
          <cell r="J46">
            <v>3054038</v>
          </cell>
        </row>
        <row r="49">
          <cell r="I49">
            <v>6674821</v>
          </cell>
        </row>
        <row r="50">
          <cell r="I50">
            <v>322751</v>
          </cell>
        </row>
        <row r="51">
          <cell r="I51">
            <v>7244194</v>
          </cell>
        </row>
        <row r="53">
          <cell r="J53">
            <v>10767136</v>
          </cell>
        </row>
        <row r="56">
          <cell r="I56">
            <v>4156097</v>
          </cell>
        </row>
        <row r="57">
          <cell r="I57">
            <v>8</v>
          </cell>
        </row>
        <row r="58">
          <cell r="I58">
            <v>20035766</v>
          </cell>
        </row>
        <row r="59">
          <cell r="I59">
            <v>635871</v>
          </cell>
        </row>
        <row r="61">
          <cell r="J61">
            <v>44031477</v>
          </cell>
        </row>
        <row r="63">
          <cell r="J63">
            <v>27011409</v>
          </cell>
        </row>
        <row r="65">
          <cell r="J65">
            <v>2247406</v>
          </cell>
        </row>
        <row r="67">
          <cell r="J67">
            <v>20496816</v>
          </cell>
        </row>
        <row r="73">
          <cell r="J73">
            <v>158388010</v>
          </cell>
        </row>
        <row r="77">
          <cell r="J77">
            <v>12456800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b10loa"/>
    </sheetNames>
    <sheetDataSet>
      <sheetData sheetId="0">
        <row r="10">
          <cell r="I10">
            <v>6083235</v>
          </cell>
        </row>
        <row r="19">
          <cell r="I19">
            <v>139194</v>
          </cell>
        </row>
        <row r="23">
          <cell r="I23">
            <v>398</v>
          </cell>
        </row>
        <row r="25">
          <cell r="J25">
            <v>353767</v>
          </cell>
        </row>
        <row r="30">
          <cell r="I30">
            <v>298928</v>
          </cell>
        </row>
        <row r="31">
          <cell r="I31">
            <v>2559928</v>
          </cell>
        </row>
        <row r="32">
          <cell r="I32">
            <v>0</v>
          </cell>
        </row>
        <row r="33">
          <cell r="I33">
            <v>135795</v>
          </cell>
        </row>
        <row r="34">
          <cell r="I34">
            <v>109125</v>
          </cell>
        </row>
        <row r="35">
          <cell r="I35">
            <v>426304</v>
          </cell>
        </row>
        <row r="36">
          <cell r="I36">
            <v>366473</v>
          </cell>
        </row>
        <row r="37">
          <cell r="I37">
            <v>1049065</v>
          </cell>
        </row>
        <row r="38">
          <cell r="I38">
            <v>933878</v>
          </cell>
        </row>
        <row r="39">
          <cell r="I39">
            <v>3156131</v>
          </cell>
        </row>
        <row r="42">
          <cell r="I42">
            <v>15456806</v>
          </cell>
        </row>
        <row r="43">
          <cell r="I43">
            <v>1222564</v>
          </cell>
        </row>
        <row r="44">
          <cell r="I44">
            <v>215450</v>
          </cell>
        </row>
        <row r="46">
          <cell r="J46">
            <v>1036720</v>
          </cell>
        </row>
        <row r="49">
          <cell r="I49">
            <v>4478312</v>
          </cell>
        </row>
        <row r="50">
          <cell r="I50">
            <v>317434</v>
          </cell>
        </row>
        <row r="51">
          <cell r="I51">
            <v>2819294</v>
          </cell>
        </row>
        <row r="53">
          <cell r="J53">
            <v>4700362</v>
          </cell>
        </row>
        <row r="56">
          <cell r="I56">
            <v>13202462</v>
          </cell>
        </row>
        <row r="57">
          <cell r="I57">
            <v>2428</v>
          </cell>
        </row>
        <row r="58">
          <cell r="I58">
            <v>19307528</v>
          </cell>
        </row>
        <row r="59">
          <cell r="I59">
            <v>4464895</v>
          </cell>
        </row>
        <row r="61">
          <cell r="J61">
            <v>23894477</v>
          </cell>
        </row>
        <row r="63">
          <cell r="J63">
            <v>38871144</v>
          </cell>
        </row>
        <row r="65">
          <cell r="J65">
            <v>519829</v>
          </cell>
        </row>
        <row r="67">
          <cell r="J67">
            <v>17021972</v>
          </cell>
        </row>
        <row r="73">
          <cell r="J73">
            <v>83378244</v>
          </cell>
        </row>
        <row r="77">
          <cell r="J77">
            <v>7045975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pr14loa"/>
    </sheetNames>
    <sheetDataSet>
      <sheetData sheetId="0">
        <row r="10">
          <cell r="I10">
            <v>6583518</v>
          </cell>
        </row>
        <row r="19">
          <cell r="I19">
            <v>1566205</v>
          </cell>
        </row>
        <row r="23">
          <cell r="I23">
            <v>465462</v>
          </cell>
        </row>
        <row r="25">
          <cell r="J25">
            <v>693816</v>
          </cell>
        </row>
        <row r="30">
          <cell r="I30">
            <v>17873</v>
          </cell>
        </row>
        <row r="31">
          <cell r="I31">
            <v>5516797</v>
          </cell>
        </row>
        <row r="32">
          <cell r="I32">
            <v>0</v>
          </cell>
        </row>
        <row r="33">
          <cell r="I33">
            <v>249370</v>
          </cell>
        </row>
        <row r="34">
          <cell r="I34">
            <v>232254</v>
          </cell>
        </row>
        <row r="35">
          <cell r="I35">
            <v>604499</v>
          </cell>
        </row>
        <row r="36">
          <cell r="I36">
            <v>311011</v>
          </cell>
        </row>
        <row r="37">
          <cell r="I37">
            <v>918776</v>
          </cell>
        </row>
        <row r="38">
          <cell r="I38">
            <v>614096</v>
          </cell>
        </row>
        <row r="39">
          <cell r="I39">
            <v>3998845</v>
          </cell>
        </row>
        <row r="42">
          <cell r="I42">
            <v>22567823</v>
          </cell>
        </row>
        <row r="43">
          <cell r="I43">
            <v>1164350</v>
          </cell>
        </row>
        <row r="44">
          <cell r="I44">
            <v>246891</v>
          </cell>
        </row>
        <row r="46">
          <cell r="J46">
            <v>3130309</v>
          </cell>
        </row>
        <row r="49">
          <cell r="I49">
            <v>6371938</v>
          </cell>
        </row>
        <row r="50">
          <cell r="I50">
            <v>307688</v>
          </cell>
        </row>
        <row r="51">
          <cell r="I51">
            <v>7277233</v>
          </cell>
        </row>
        <row r="53">
          <cell r="J53">
            <v>9241205</v>
          </cell>
        </row>
        <row r="56">
          <cell r="I56">
            <v>3827137</v>
          </cell>
        </row>
        <row r="57">
          <cell r="I57">
            <v>8</v>
          </cell>
        </row>
        <row r="58">
          <cell r="I58">
            <v>22251752</v>
          </cell>
        </row>
        <row r="59">
          <cell r="I59">
            <v>631428</v>
          </cell>
        </row>
        <row r="61">
          <cell r="J61">
            <v>46469936</v>
          </cell>
        </row>
        <row r="63">
          <cell r="J63">
            <v>26588741</v>
          </cell>
        </row>
        <row r="65">
          <cell r="J65">
            <v>2502233</v>
          </cell>
        </row>
        <row r="67">
          <cell r="J67">
            <v>19016914</v>
          </cell>
        </row>
        <row r="73">
          <cell r="J73">
            <v>157298642</v>
          </cell>
        </row>
        <row r="77">
          <cell r="J77">
            <v>11847509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May14loa"/>
    </sheetNames>
    <sheetDataSet>
      <sheetData sheetId="0">
        <row r="10">
          <cell r="I10">
            <v>7090564</v>
          </cell>
        </row>
        <row r="19">
          <cell r="I19">
            <v>1400021</v>
          </cell>
        </row>
        <row r="23">
          <cell r="I23">
            <v>455894</v>
          </cell>
        </row>
        <row r="25">
          <cell r="J25">
            <v>680477</v>
          </cell>
        </row>
        <row r="30">
          <cell r="I30">
            <v>511807</v>
          </cell>
        </row>
        <row r="31">
          <cell r="I31">
            <v>5430064</v>
          </cell>
        </row>
        <row r="32">
          <cell r="I32">
            <v>0</v>
          </cell>
        </row>
        <row r="33">
          <cell r="I33">
            <v>248020</v>
          </cell>
        </row>
        <row r="34">
          <cell r="I34">
            <v>213494</v>
          </cell>
        </row>
        <row r="35">
          <cell r="I35">
            <v>595278</v>
          </cell>
        </row>
        <row r="36">
          <cell r="I36">
            <v>315273</v>
          </cell>
        </row>
        <row r="37">
          <cell r="I37">
            <v>905997</v>
          </cell>
        </row>
        <row r="38">
          <cell r="I38">
            <v>568812</v>
          </cell>
        </row>
        <row r="39">
          <cell r="I39">
            <v>4151826</v>
          </cell>
        </row>
        <row r="42">
          <cell r="I42">
            <v>23002672</v>
          </cell>
        </row>
        <row r="43">
          <cell r="I43">
            <v>1169891</v>
          </cell>
        </row>
        <row r="44">
          <cell r="I44">
            <v>244923</v>
          </cell>
        </row>
        <row r="46">
          <cell r="J46">
            <v>3262370</v>
          </cell>
        </row>
        <row r="49">
          <cell r="I49">
            <v>6244823</v>
          </cell>
        </row>
        <row r="50">
          <cell r="I50">
            <v>299283</v>
          </cell>
        </row>
        <row r="51">
          <cell r="I51">
            <v>7181597</v>
          </cell>
        </row>
        <row r="53">
          <cell r="J53">
            <v>10229846</v>
          </cell>
        </row>
        <row r="56">
          <cell r="I56">
            <v>3923423</v>
          </cell>
        </row>
        <row r="57">
          <cell r="I57">
            <v>2</v>
          </cell>
        </row>
        <row r="58">
          <cell r="I58">
            <v>23128805</v>
          </cell>
        </row>
        <row r="59">
          <cell r="I59">
            <v>635841</v>
          </cell>
        </row>
        <row r="61">
          <cell r="J61">
            <v>45737198</v>
          </cell>
        </row>
        <row r="63">
          <cell r="J63">
            <v>26670679</v>
          </cell>
        </row>
        <row r="65">
          <cell r="J65">
            <v>2511848</v>
          </cell>
        </row>
        <row r="67">
          <cell r="J67">
            <v>18688278</v>
          </cell>
        </row>
        <row r="73">
          <cell r="J73">
            <v>158826531</v>
          </cell>
        </row>
        <row r="77">
          <cell r="J77">
            <v>11450821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Jun14loa"/>
    </sheetNames>
    <sheetDataSet>
      <sheetData sheetId="0">
        <row r="10">
          <cell r="H10">
            <v>7887722</v>
          </cell>
        </row>
        <row r="19">
          <cell r="H19">
            <v>1399128</v>
          </cell>
        </row>
        <row r="23">
          <cell r="H23">
            <v>453444</v>
          </cell>
        </row>
        <row r="25">
          <cell r="I25">
            <v>679563</v>
          </cell>
        </row>
        <row r="30">
          <cell r="H30">
            <v>439713</v>
          </cell>
        </row>
        <row r="31">
          <cell r="H31">
            <v>5413536</v>
          </cell>
        </row>
        <row r="32">
          <cell r="H32">
            <v>0</v>
          </cell>
        </row>
        <row r="33">
          <cell r="H33">
            <v>269365</v>
          </cell>
        </row>
        <row r="34">
          <cell r="H34">
            <v>241210</v>
          </cell>
        </row>
        <row r="35">
          <cell r="H35">
            <v>510645</v>
          </cell>
        </row>
        <row r="36">
          <cell r="H36">
            <v>337812</v>
          </cell>
        </row>
        <row r="37">
          <cell r="H37">
            <v>889829</v>
          </cell>
        </row>
        <row r="38">
          <cell r="H38">
            <v>591417</v>
          </cell>
        </row>
        <row r="39">
          <cell r="H39">
            <v>3805836</v>
          </cell>
        </row>
        <row r="42">
          <cell r="H42">
            <v>22582096</v>
          </cell>
        </row>
        <row r="43">
          <cell r="H43">
            <v>1123187</v>
          </cell>
        </row>
        <row r="44">
          <cell r="H44">
            <v>243339</v>
          </cell>
        </row>
        <row r="46">
          <cell r="I46">
            <v>3384220</v>
          </cell>
        </row>
        <row r="49">
          <cell r="H49">
            <v>5661249</v>
          </cell>
        </row>
        <row r="50">
          <cell r="H50">
            <v>288588</v>
          </cell>
        </row>
        <row r="51">
          <cell r="H51">
            <v>7496965</v>
          </cell>
        </row>
        <row r="53">
          <cell r="I53">
            <v>10207588</v>
          </cell>
        </row>
        <row r="56">
          <cell r="H56">
            <v>4106525</v>
          </cell>
        </row>
        <row r="57">
          <cell r="H57">
            <v>0</v>
          </cell>
        </row>
        <row r="58">
          <cell r="H58">
            <v>25317475</v>
          </cell>
        </row>
        <row r="59">
          <cell r="H59">
            <v>631829</v>
          </cell>
        </row>
        <row r="61">
          <cell r="I61">
            <v>46558321</v>
          </cell>
        </row>
        <row r="63">
          <cell r="I63">
            <v>26860586</v>
          </cell>
        </row>
        <row r="65">
          <cell r="I65">
            <v>2454041</v>
          </cell>
        </row>
        <row r="67">
          <cell r="I67">
            <v>18912717</v>
          </cell>
        </row>
        <row r="73">
          <cell r="I73">
            <v>160976026</v>
          </cell>
        </row>
        <row r="77">
          <cell r="I77">
            <v>11375037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Jul14loa"/>
    </sheetNames>
    <sheetDataSet>
      <sheetData sheetId="0">
        <row r="10">
          <cell r="H10">
            <v>8041863</v>
          </cell>
        </row>
        <row r="19">
          <cell r="H19">
            <v>1347318</v>
          </cell>
        </row>
        <row r="23">
          <cell r="H23">
            <v>447268</v>
          </cell>
        </row>
        <row r="25">
          <cell r="I25">
            <v>694274</v>
          </cell>
        </row>
        <row r="30">
          <cell r="H30">
            <v>387739</v>
          </cell>
        </row>
        <row r="31">
          <cell r="H31">
            <v>5597989</v>
          </cell>
        </row>
        <row r="32">
          <cell r="H32">
            <v>0</v>
          </cell>
        </row>
        <row r="33">
          <cell r="H33">
            <v>255425</v>
          </cell>
        </row>
        <row r="34">
          <cell r="H34">
            <v>152110</v>
          </cell>
        </row>
        <row r="35">
          <cell r="H35">
            <v>481573</v>
          </cell>
        </row>
        <row r="36">
          <cell r="H36">
            <v>321637</v>
          </cell>
        </row>
        <row r="37">
          <cell r="H37">
            <v>859353</v>
          </cell>
        </row>
        <row r="38">
          <cell r="H38">
            <v>610257</v>
          </cell>
        </row>
        <row r="39">
          <cell r="H39">
            <v>3762985</v>
          </cell>
        </row>
        <row r="42">
          <cell r="H42">
            <v>22647889</v>
          </cell>
        </row>
        <row r="43">
          <cell r="H43">
            <v>1149035</v>
          </cell>
        </row>
        <row r="44">
          <cell r="H44">
            <v>240854</v>
          </cell>
        </row>
        <row r="46">
          <cell r="I46">
            <v>3584350</v>
          </cell>
        </row>
        <row r="49">
          <cell r="H49">
            <v>6239888</v>
          </cell>
        </row>
        <row r="50">
          <cell r="H50">
            <v>281249</v>
          </cell>
        </row>
        <row r="51">
          <cell r="H51">
            <v>7511990</v>
          </cell>
        </row>
        <row r="53">
          <cell r="I53">
            <v>9446413</v>
          </cell>
        </row>
        <row r="56">
          <cell r="H56">
            <v>4036952</v>
          </cell>
        </row>
        <row r="57">
          <cell r="H57">
            <v>0</v>
          </cell>
        </row>
        <row r="58">
          <cell r="H58">
            <v>24239625</v>
          </cell>
        </row>
        <row r="59">
          <cell r="H59">
            <v>598560</v>
          </cell>
        </row>
        <row r="61">
          <cell r="I61">
            <v>48030793</v>
          </cell>
        </row>
        <row r="63">
          <cell r="I63">
            <v>29077290</v>
          </cell>
        </row>
        <row r="65">
          <cell r="I65">
            <v>2361919</v>
          </cell>
        </row>
        <row r="67">
          <cell r="I67">
            <v>19972803</v>
          </cell>
        </row>
        <row r="73">
          <cell r="I73">
            <v>161583714</v>
          </cell>
        </row>
        <row r="77">
          <cell r="I77">
            <v>13372286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ug14loa"/>
    </sheetNames>
    <sheetDataSet>
      <sheetData sheetId="0">
        <row r="10">
          <cell r="H10">
            <v>7857788</v>
          </cell>
        </row>
        <row r="19">
          <cell r="H19">
            <v>1094338</v>
          </cell>
        </row>
        <row r="23">
          <cell r="H23">
            <v>447199</v>
          </cell>
        </row>
        <row r="25">
          <cell r="I25">
            <v>705267</v>
          </cell>
        </row>
        <row r="30">
          <cell r="H30">
            <v>343054</v>
          </cell>
        </row>
        <row r="31">
          <cell r="H31">
            <v>5833402</v>
          </cell>
        </row>
        <row r="32">
          <cell r="H32">
            <v>0</v>
          </cell>
        </row>
        <row r="33">
          <cell r="H33">
            <v>250828</v>
          </cell>
        </row>
        <row r="34">
          <cell r="H34">
            <v>141616</v>
          </cell>
        </row>
        <row r="35">
          <cell r="H35">
            <v>594592</v>
          </cell>
        </row>
        <row r="36">
          <cell r="H36">
            <v>265496</v>
          </cell>
        </row>
        <row r="37">
          <cell r="H37">
            <v>885088</v>
          </cell>
        </row>
        <row r="38">
          <cell r="H38">
            <v>616876</v>
          </cell>
        </row>
        <row r="39">
          <cell r="H39">
            <v>3477294</v>
          </cell>
        </row>
        <row r="42">
          <cell r="H42">
            <v>22805710</v>
          </cell>
        </row>
        <row r="43">
          <cell r="H43">
            <v>1143610</v>
          </cell>
        </row>
        <row r="44">
          <cell r="H44">
            <v>238825</v>
          </cell>
        </row>
        <row r="46">
          <cell r="I46">
            <v>3468472</v>
          </cell>
        </row>
        <row r="49">
          <cell r="H49">
            <v>6052473</v>
          </cell>
        </row>
        <row r="50">
          <cell r="H50">
            <v>279133</v>
          </cell>
        </row>
        <row r="51">
          <cell r="H51">
            <v>7062529</v>
          </cell>
        </row>
        <row r="53">
          <cell r="I53">
            <v>8704439</v>
          </cell>
        </row>
        <row r="56">
          <cell r="H56">
            <v>3891722</v>
          </cell>
        </row>
        <row r="57">
          <cell r="H57">
            <v>0</v>
          </cell>
        </row>
        <row r="58">
          <cell r="H58">
            <v>23861682</v>
          </cell>
        </row>
        <row r="59">
          <cell r="H59">
            <v>624224</v>
          </cell>
        </row>
        <row r="61">
          <cell r="I61">
            <v>48852694</v>
          </cell>
        </row>
        <row r="63">
          <cell r="I63">
            <v>29013513</v>
          </cell>
        </row>
        <row r="65">
          <cell r="I65">
            <v>2366114</v>
          </cell>
        </row>
        <row r="67">
          <cell r="I67">
            <v>20235799</v>
          </cell>
        </row>
        <row r="73">
          <cell r="I73">
            <v>163024618</v>
          </cell>
        </row>
        <row r="77">
          <cell r="I77">
            <v>14285955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ep14loa"/>
    </sheetNames>
    <sheetDataSet>
      <sheetData sheetId="0">
        <row r="10">
          <cell r="H10">
            <v>7598390</v>
          </cell>
        </row>
        <row r="19">
          <cell r="H19">
            <v>1104522</v>
          </cell>
        </row>
        <row r="23">
          <cell r="H23">
            <v>443389</v>
          </cell>
        </row>
        <row r="25">
          <cell r="I25">
            <v>734916</v>
          </cell>
        </row>
        <row r="30">
          <cell r="H30">
            <v>492048</v>
          </cell>
        </row>
        <row r="31">
          <cell r="H31">
            <v>5668970</v>
          </cell>
        </row>
        <row r="32">
          <cell r="H32">
            <v>2</v>
          </cell>
        </row>
        <row r="33">
          <cell r="H33">
            <v>269038</v>
          </cell>
        </row>
        <row r="34">
          <cell r="H34">
            <v>152948</v>
          </cell>
        </row>
        <row r="35">
          <cell r="H35">
            <v>612150</v>
          </cell>
        </row>
        <row r="36">
          <cell r="H36">
            <v>270970</v>
          </cell>
        </row>
        <row r="37">
          <cell r="H37">
            <v>616189</v>
          </cell>
        </row>
        <row r="38">
          <cell r="H38">
            <v>560630</v>
          </cell>
        </row>
        <row r="39">
          <cell r="H39">
            <v>3931090</v>
          </cell>
        </row>
        <row r="42">
          <cell r="H42">
            <v>22779002</v>
          </cell>
        </row>
        <row r="43">
          <cell r="H43">
            <v>1115802</v>
          </cell>
        </row>
        <row r="44">
          <cell r="H44">
            <v>236057</v>
          </cell>
        </row>
        <row r="46">
          <cell r="I46">
            <v>3596892</v>
          </cell>
        </row>
        <row r="49">
          <cell r="H49">
            <v>5953159</v>
          </cell>
        </row>
        <row r="50">
          <cell r="H50">
            <v>261392</v>
          </cell>
        </row>
        <row r="51">
          <cell r="H51">
            <v>6496655</v>
          </cell>
        </row>
        <row r="53">
          <cell r="I53">
            <v>8696004</v>
          </cell>
        </row>
        <row r="56">
          <cell r="H56">
            <v>3689893</v>
          </cell>
        </row>
        <row r="57">
          <cell r="H57">
            <v>0</v>
          </cell>
        </row>
        <row r="58">
          <cell r="H58">
            <v>26271164</v>
          </cell>
        </row>
        <row r="59">
          <cell r="H59">
            <v>605609</v>
          </cell>
        </row>
        <row r="61">
          <cell r="I61">
            <v>47226805</v>
          </cell>
        </row>
        <row r="63">
          <cell r="I63">
            <v>28603727</v>
          </cell>
        </row>
        <row r="65">
          <cell r="I65">
            <v>2316252</v>
          </cell>
        </row>
        <row r="67">
          <cell r="I67">
            <v>20245381</v>
          </cell>
        </row>
        <row r="73">
          <cell r="I73">
            <v>163372816</v>
          </cell>
        </row>
        <row r="77">
          <cell r="I77">
            <v>13347852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Oct14loa"/>
    </sheetNames>
    <sheetDataSet>
      <sheetData sheetId="0">
        <row r="10">
          <cell r="H10">
            <v>7536940</v>
          </cell>
        </row>
        <row r="19">
          <cell r="H19">
            <v>1061689</v>
          </cell>
        </row>
        <row r="23">
          <cell r="H23">
            <v>442816</v>
          </cell>
        </row>
        <row r="25">
          <cell r="I25">
            <v>737105</v>
          </cell>
        </row>
        <row r="30">
          <cell r="H30">
            <v>422639</v>
          </cell>
        </row>
        <row r="31">
          <cell r="H31">
            <v>5620553</v>
          </cell>
        </row>
        <row r="32">
          <cell r="H32">
            <v>0</v>
          </cell>
        </row>
        <row r="33">
          <cell r="H33">
            <v>338734</v>
          </cell>
        </row>
        <row r="34">
          <cell r="H34">
            <v>147927</v>
          </cell>
        </row>
        <row r="35">
          <cell r="H35">
            <v>601835</v>
          </cell>
        </row>
        <row r="36">
          <cell r="H36">
            <v>274307</v>
          </cell>
        </row>
        <row r="37">
          <cell r="H37">
            <v>603513</v>
          </cell>
        </row>
        <row r="38">
          <cell r="H38">
            <v>523419</v>
          </cell>
        </row>
        <row r="39">
          <cell r="H39">
            <v>4046855</v>
          </cell>
        </row>
        <row r="42">
          <cell r="H42">
            <v>22662040</v>
          </cell>
        </row>
        <row r="43">
          <cell r="H43">
            <v>1127899</v>
          </cell>
        </row>
        <row r="44">
          <cell r="H44">
            <v>234740</v>
          </cell>
        </row>
        <row r="46">
          <cell r="I46">
            <v>2767324</v>
          </cell>
        </row>
        <row r="49">
          <cell r="H49">
            <v>5777480</v>
          </cell>
        </row>
        <row r="50">
          <cell r="H50">
            <v>251370</v>
          </cell>
        </row>
        <row r="51">
          <cell r="H51">
            <v>6477246</v>
          </cell>
        </row>
        <row r="53">
          <cell r="I53">
            <v>8654507</v>
          </cell>
        </row>
        <row r="56">
          <cell r="H56">
            <v>3923201</v>
          </cell>
        </row>
        <row r="57">
          <cell r="H57">
            <v>0</v>
          </cell>
        </row>
        <row r="58">
          <cell r="H58">
            <v>26300098</v>
          </cell>
        </row>
        <row r="59">
          <cell r="H59">
            <v>603504</v>
          </cell>
        </row>
        <row r="61">
          <cell r="I61">
            <v>49110315</v>
          </cell>
        </row>
        <row r="63">
          <cell r="I63">
            <v>29932963</v>
          </cell>
        </row>
        <row r="65">
          <cell r="I65">
            <v>2334928</v>
          </cell>
        </row>
        <row r="67">
          <cell r="I67">
            <v>20226432</v>
          </cell>
        </row>
        <row r="73">
          <cell r="I73">
            <v>162934218</v>
          </cell>
        </row>
        <row r="77">
          <cell r="I77">
            <v>13251140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Nov14loa"/>
    </sheetNames>
    <sheetDataSet>
      <sheetData sheetId="0">
        <row r="10">
          <cell r="H10">
            <v>7299906</v>
          </cell>
        </row>
        <row r="19">
          <cell r="H19">
            <v>1068999</v>
          </cell>
        </row>
        <row r="23">
          <cell r="H23">
            <v>435745</v>
          </cell>
        </row>
        <row r="25">
          <cell r="I25">
            <v>708102</v>
          </cell>
        </row>
        <row r="30">
          <cell r="H30">
            <v>422435</v>
          </cell>
        </row>
        <row r="31">
          <cell r="H31">
            <v>6079497</v>
          </cell>
        </row>
        <row r="32">
          <cell r="H32">
            <v>0</v>
          </cell>
        </row>
        <row r="33">
          <cell r="H33">
            <v>344332</v>
          </cell>
        </row>
        <row r="34">
          <cell r="H34">
            <v>172383</v>
          </cell>
        </row>
        <row r="35">
          <cell r="H35">
            <v>640457</v>
          </cell>
        </row>
        <row r="36">
          <cell r="H36">
            <v>147197</v>
          </cell>
        </row>
        <row r="37">
          <cell r="H37">
            <v>594514</v>
          </cell>
        </row>
        <row r="38">
          <cell r="H38">
            <v>513330</v>
          </cell>
        </row>
        <row r="39">
          <cell r="H39">
            <v>3984594</v>
          </cell>
        </row>
        <row r="42">
          <cell r="H42">
            <v>22929120</v>
          </cell>
        </row>
        <row r="43">
          <cell r="H43">
            <v>1114778</v>
          </cell>
        </row>
        <row r="44">
          <cell r="H44">
            <v>231658</v>
          </cell>
        </row>
        <row r="46">
          <cell r="I46">
            <v>2824192</v>
          </cell>
        </row>
        <row r="49">
          <cell r="H49">
            <v>5681503</v>
          </cell>
        </row>
        <row r="50">
          <cell r="H50">
            <v>243193</v>
          </cell>
        </row>
        <row r="51">
          <cell r="H51">
            <v>6331070</v>
          </cell>
        </row>
        <row r="53">
          <cell r="I53">
            <v>8817315</v>
          </cell>
        </row>
        <row r="56">
          <cell r="H56">
            <v>3894365</v>
          </cell>
        </row>
        <row r="57">
          <cell r="H57">
            <v>0</v>
          </cell>
        </row>
        <row r="58">
          <cell r="H58">
            <v>25525093</v>
          </cell>
        </row>
        <row r="59">
          <cell r="H59">
            <v>568074</v>
          </cell>
        </row>
        <row r="61">
          <cell r="I61">
            <v>50065864</v>
          </cell>
        </row>
        <row r="63">
          <cell r="I63">
            <v>29818066</v>
          </cell>
        </row>
        <row r="65">
          <cell r="I65">
            <v>2349557</v>
          </cell>
        </row>
        <row r="67">
          <cell r="I67">
            <v>20611214</v>
          </cell>
        </row>
        <row r="73">
          <cell r="I73">
            <v>164390877</v>
          </cell>
        </row>
        <row r="77">
          <cell r="I77">
            <v>13297813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ec14loa"/>
    </sheetNames>
    <sheetDataSet>
      <sheetData sheetId="0">
        <row r="10">
          <cell r="H10">
            <v>7356718</v>
          </cell>
        </row>
        <row r="19">
          <cell r="H19">
            <v>1074894</v>
          </cell>
        </row>
        <row r="23">
          <cell r="H23">
            <v>429558</v>
          </cell>
        </row>
        <row r="25">
          <cell r="I25">
            <v>729017</v>
          </cell>
        </row>
        <row r="30">
          <cell r="H30">
            <v>354010</v>
          </cell>
        </row>
        <row r="31">
          <cell r="H31">
            <v>5991985</v>
          </cell>
        </row>
        <row r="32">
          <cell r="H32">
            <v>1</v>
          </cell>
        </row>
        <row r="33">
          <cell r="H33">
            <v>346355</v>
          </cell>
        </row>
        <row r="34">
          <cell r="H34">
            <v>164833</v>
          </cell>
        </row>
        <row r="35">
          <cell r="H35">
            <v>642190</v>
          </cell>
        </row>
        <row r="36">
          <cell r="H36">
            <v>151231</v>
          </cell>
        </row>
        <row r="37">
          <cell r="H37">
            <v>593449</v>
          </cell>
        </row>
        <row r="38">
          <cell r="H38">
            <v>577259</v>
          </cell>
        </row>
        <row r="39">
          <cell r="H39">
            <v>3857649</v>
          </cell>
        </row>
        <row r="42">
          <cell r="H42">
            <v>23040251</v>
          </cell>
        </row>
        <row r="43">
          <cell r="H43">
            <v>1100971</v>
          </cell>
        </row>
        <row r="44">
          <cell r="H44">
            <v>229889</v>
          </cell>
        </row>
        <row r="46">
          <cell r="I46">
            <v>3334269</v>
          </cell>
        </row>
        <row r="49">
          <cell r="H49">
            <v>5964937</v>
          </cell>
        </row>
        <row r="50">
          <cell r="H50">
            <v>239333</v>
          </cell>
        </row>
        <row r="51">
          <cell r="H51">
            <v>6332522</v>
          </cell>
        </row>
        <row r="53">
          <cell r="I53">
            <v>8645942</v>
          </cell>
        </row>
        <row r="56">
          <cell r="H56">
            <v>3891571</v>
          </cell>
        </row>
        <row r="57">
          <cell r="H57">
            <v>179</v>
          </cell>
        </row>
        <row r="58">
          <cell r="H58">
            <v>24065838</v>
          </cell>
        </row>
        <row r="59">
          <cell r="H59">
            <v>613473</v>
          </cell>
        </row>
        <row r="61">
          <cell r="I61">
            <v>49101107</v>
          </cell>
        </row>
        <row r="63">
          <cell r="I63">
            <v>29718234</v>
          </cell>
        </row>
        <row r="65">
          <cell r="I65">
            <v>2130751</v>
          </cell>
        </row>
        <row r="67">
          <cell r="I67">
            <v>22167919</v>
          </cell>
        </row>
        <row r="73">
          <cell r="I73">
            <v>164882818</v>
          </cell>
        </row>
        <row r="77">
          <cell r="I77">
            <v>13241130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Jan15loa"/>
    </sheetNames>
    <sheetDataSet>
      <sheetData sheetId="0">
        <row r="10">
          <cell r="H10">
            <v>7217707</v>
          </cell>
        </row>
        <row r="19">
          <cell r="H19">
            <v>1030932</v>
          </cell>
        </row>
        <row r="23">
          <cell r="H23">
            <v>426076</v>
          </cell>
        </row>
        <row r="25">
          <cell r="I25">
            <v>727879</v>
          </cell>
        </row>
        <row r="30">
          <cell r="H30">
            <v>283290</v>
          </cell>
        </row>
        <row r="31">
          <cell r="H31">
            <v>6258328</v>
          </cell>
        </row>
        <row r="32">
          <cell r="H32">
            <v>2</v>
          </cell>
        </row>
        <row r="33">
          <cell r="H33">
            <v>346148</v>
          </cell>
        </row>
        <row r="34">
          <cell r="H34">
            <v>150551</v>
          </cell>
        </row>
        <row r="35">
          <cell r="H35">
            <v>656044</v>
          </cell>
        </row>
        <row r="36">
          <cell r="H36">
            <v>172699</v>
          </cell>
        </row>
        <row r="37">
          <cell r="H37">
            <v>557995</v>
          </cell>
        </row>
        <row r="38">
          <cell r="H38">
            <v>563091</v>
          </cell>
        </row>
        <row r="39">
          <cell r="H39">
            <v>2689597</v>
          </cell>
        </row>
        <row r="42">
          <cell r="H42">
            <v>23194946</v>
          </cell>
        </row>
        <row r="43">
          <cell r="H43">
            <v>1748744</v>
          </cell>
        </row>
        <row r="44">
          <cell r="H44">
            <v>225567</v>
          </cell>
        </row>
        <row r="46">
          <cell r="I46">
            <v>3913925</v>
          </cell>
        </row>
        <row r="49">
          <cell r="H49">
            <v>6090368</v>
          </cell>
        </row>
        <row r="50">
          <cell r="H50">
            <v>232891</v>
          </cell>
        </row>
        <row r="51">
          <cell r="H51">
            <v>6387887</v>
          </cell>
        </row>
        <row r="53">
          <cell r="I53">
            <v>8557770</v>
          </cell>
        </row>
        <row r="56">
          <cell r="H56">
            <v>3850358</v>
          </cell>
        </row>
        <row r="57">
          <cell r="H57">
            <v>0</v>
          </cell>
        </row>
        <row r="58">
          <cell r="H58">
            <v>23480159</v>
          </cell>
        </row>
        <row r="59">
          <cell r="H59">
            <v>444715</v>
          </cell>
        </row>
        <row r="61">
          <cell r="I61">
            <v>51084995</v>
          </cell>
        </row>
        <row r="63">
          <cell r="I63">
            <v>29434360</v>
          </cell>
        </row>
        <row r="65">
          <cell r="I65">
            <v>2096700</v>
          </cell>
        </row>
        <row r="67">
          <cell r="I67">
            <v>21318313</v>
          </cell>
        </row>
        <row r="73">
          <cell r="I73">
            <v>164978237</v>
          </cell>
        </row>
        <row r="77">
          <cell r="I77">
            <v>13804725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r10loa"/>
    </sheetNames>
    <sheetDataSet>
      <sheetData sheetId="0">
        <row r="10">
          <cell r="I10">
            <v>6173107</v>
          </cell>
        </row>
        <row r="19">
          <cell r="I19">
            <v>120237</v>
          </cell>
        </row>
        <row r="23">
          <cell r="I23">
            <v>398</v>
          </cell>
        </row>
        <row r="25">
          <cell r="J25">
            <v>421553</v>
          </cell>
        </row>
        <row r="30">
          <cell r="I30">
            <v>311762</v>
          </cell>
        </row>
        <row r="31">
          <cell r="I31">
            <v>2488442</v>
          </cell>
        </row>
        <row r="32">
          <cell r="I32">
            <v>0</v>
          </cell>
        </row>
        <row r="33">
          <cell r="I33">
            <v>233639</v>
          </cell>
        </row>
        <row r="34">
          <cell r="I34">
            <v>156090</v>
          </cell>
        </row>
        <row r="35">
          <cell r="I35">
            <v>462173</v>
          </cell>
        </row>
        <row r="36">
          <cell r="I36">
            <v>353440</v>
          </cell>
        </row>
        <row r="37">
          <cell r="I37">
            <v>1041934</v>
          </cell>
        </row>
        <row r="38">
          <cell r="I38">
            <v>933637</v>
          </cell>
        </row>
        <row r="39">
          <cell r="I39">
            <v>3107453</v>
          </cell>
        </row>
        <row r="42">
          <cell r="I42">
            <v>15562625</v>
          </cell>
        </row>
        <row r="43">
          <cell r="I43">
            <v>1187909</v>
          </cell>
        </row>
        <row r="44">
          <cell r="I44">
            <v>212229</v>
          </cell>
        </row>
        <row r="46">
          <cell r="J46">
            <v>971337</v>
          </cell>
        </row>
        <row r="49">
          <cell r="I49">
            <v>4721781</v>
          </cell>
        </row>
        <row r="50">
          <cell r="I50">
            <v>317011</v>
          </cell>
        </row>
        <row r="51">
          <cell r="I51">
            <v>4544021</v>
          </cell>
        </row>
        <row r="53">
          <cell r="J53">
            <v>4595178</v>
          </cell>
        </row>
        <row r="56">
          <cell r="I56">
            <v>12902986</v>
          </cell>
        </row>
        <row r="57">
          <cell r="I57">
            <v>1629</v>
          </cell>
        </row>
        <row r="58">
          <cell r="I58">
            <v>20221257</v>
          </cell>
        </row>
        <row r="59">
          <cell r="I59">
            <v>4408386</v>
          </cell>
        </row>
        <row r="61">
          <cell r="J61">
            <v>25346006</v>
          </cell>
        </row>
        <row r="63">
          <cell r="J63">
            <v>38304466</v>
          </cell>
        </row>
        <row r="65">
          <cell r="J65">
            <v>505693</v>
          </cell>
        </row>
        <row r="67">
          <cell r="J67">
            <v>17646783</v>
          </cell>
        </row>
        <row r="73">
          <cell r="J73">
            <v>82719904</v>
          </cell>
        </row>
        <row r="77">
          <cell r="J77">
            <v>7020603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FEb15loa"/>
    </sheetNames>
    <sheetDataSet>
      <sheetData sheetId="0">
        <row r="10">
          <cell r="H10">
            <v>7274232</v>
          </cell>
        </row>
        <row r="19">
          <cell r="H19">
            <v>1035475</v>
          </cell>
        </row>
        <row r="23">
          <cell r="H23">
            <v>424116</v>
          </cell>
        </row>
        <row r="25">
          <cell r="I25">
            <v>782499</v>
          </cell>
        </row>
        <row r="30">
          <cell r="H30">
            <v>247325</v>
          </cell>
        </row>
        <row r="31">
          <cell r="H31">
            <v>6340860</v>
          </cell>
        </row>
        <row r="32">
          <cell r="H32">
            <v>5</v>
          </cell>
        </row>
        <row r="33">
          <cell r="H33">
            <v>384345</v>
          </cell>
        </row>
        <row r="34">
          <cell r="H34">
            <v>151285</v>
          </cell>
        </row>
        <row r="35">
          <cell r="H35">
            <v>669650</v>
          </cell>
        </row>
        <row r="36">
          <cell r="H36">
            <v>167251</v>
          </cell>
        </row>
        <row r="37">
          <cell r="H37">
            <v>503379</v>
          </cell>
        </row>
        <row r="38">
          <cell r="H38">
            <v>569419</v>
          </cell>
        </row>
        <row r="39">
          <cell r="H39">
            <v>4827100</v>
          </cell>
        </row>
        <row r="42">
          <cell r="H42">
            <v>22750259</v>
          </cell>
        </row>
        <row r="43">
          <cell r="H43">
            <v>1863411</v>
          </cell>
        </row>
        <row r="44">
          <cell r="H44">
            <v>79485</v>
          </cell>
        </row>
        <row r="46">
          <cell r="I46">
            <v>4000984</v>
          </cell>
        </row>
        <row r="49">
          <cell r="H49">
            <v>5993293</v>
          </cell>
        </row>
        <row r="50">
          <cell r="H50">
            <v>219143</v>
          </cell>
        </row>
        <row r="51">
          <cell r="H51">
            <v>6384005</v>
          </cell>
        </row>
        <row r="53">
          <cell r="I53">
            <v>8170016</v>
          </cell>
        </row>
        <row r="56">
          <cell r="H56">
            <v>3788389</v>
          </cell>
        </row>
        <row r="57">
          <cell r="H57">
            <v>0</v>
          </cell>
        </row>
        <row r="58">
          <cell r="H58">
            <v>25522918</v>
          </cell>
        </row>
        <row r="59">
          <cell r="H59">
            <v>404960</v>
          </cell>
        </row>
        <row r="61">
          <cell r="I61">
            <v>48189217</v>
          </cell>
        </row>
        <row r="63">
          <cell r="I63">
            <v>29372620</v>
          </cell>
        </row>
        <row r="65">
          <cell r="I65">
            <v>2118091</v>
          </cell>
        </row>
        <row r="67">
          <cell r="I67">
            <v>21180485</v>
          </cell>
        </row>
        <row r="73">
          <cell r="I73">
            <v>167475275</v>
          </cell>
        </row>
        <row r="77">
          <cell r="I77">
            <v>13836556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Mar15loa"/>
    </sheetNames>
    <sheetDataSet>
      <sheetData sheetId="0">
        <row r="10">
          <cell r="H10">
            <v>6993369</v>
          </cell>
        </row>
        <row r="19">
          <cell r="H19">
            <v>1022996</v>
          </cell>
        </row>
        <row r="23">
          <cell r="H23">
            <v>417834</v>
          </cell>
        </row>
        <row r="25">
          <cell r="I25">
            <v>874859</v>
          </cell>
        </row>
        <row r="30">
          <cell r="H30">
            <v>252022</v>
          </cell>
        </row>
        <row r="31">
          <cell r="H31">
            <v>6358247</v>
          </cell>
        </row>
        <row r="32">
          <cell r="H32">
            <v>3</v>
          </cell>
        </row>
        <row r="33">
          <cell r="H33">
            <v>426167</v>
          </cell>
        </row>
        <row r="34">
          <cell r="H34">
            <v>214157</v>
          </cell>
        </row>
        <row r="35">
          <cell r="H35">
            <v>687076</v>
          </cell>
        </row>
        <row r="36">
          <cell r="H36">
            <v>162560</v>
          </cell>
        </row>
        <row r="37">
          <cell r="H37">
            <v>506645</v>
          </cell>
        </row>
        <row r="38">
          <cell r="H38">
            <v>561036</v>
          </cell>
        </row>
        <row r="39">
          <cell r="H39">
            <v>4914515</v>
          </cell>
        </row>
        <row r="42">
          <cell r="H42">
            <v>22582237</v>
          </cell>
        </row>
        <row r="43">
          <cell r="H43">
            <v>1855687</v>
          </cell>
        </row>
        <row r="44">
          <cell r="H44">
            <v>61047</v>
          </cell>
        </row>
        <row r="46">
          <cell r="I46">
            <v>3370194</v>
          </cell>
        </row>
        <row r="49">
          <cell r="H49">
            <v>6078527</v>
          </cell>
        </row>
        <row r="50">
          <cell r="H50">
            <v>218562</v>
          </cell>
        </row>
        <row r="51">
          <cell r="H51">
            <v>5726455</v>
          </cell>
        </row>
        <row r="53">
          <cell r="I53">
            <v>8435604</v>
          </cell>
        </row>
        <row r="56">
          <cell r="H56">
            <v>6594415</v>
          </cell>
        </row>
        <row r="57">
          <cell r="H57">
            <v>0</v>
          </cell>
        </row>
        <row r="58">
          <cell r="H58">
            <v>22619707</v>
          </cell>
        </row>
        <row r="59">
          <cell r="H59">
            <v>331900</v>
          </cell>
        </row>
        <row r="61">
          <cell r="I61">
            <v>47294367</v>
          </cell>
        </row>
        <row r="63">
          <cell r="I63">
            <v>28955318</v>
          </cell>
        </row>
        <row r="65">
          <cell r="I65">
            <v>1647915</v>
          </cell>
        </row>
        <row r="67">
          <cell r="I67">
            <v>20943846</v>
          </cell>
        </row>
        <row r="73">
          <cell r="I73">
            <v>168043194</v>
          </cell>
        </row>
        <row r="77">
          <cell r="I77">
            <v>14010954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Apr15loa"/>
    </sheetNames>
    <sheetDataSet>
      <sheetData sheetId="0">
        <row r="10">
          <cell r="H10">
            <v>7167144</v>
          </cell>
        </row>
        <row r="19">
          <cell r="H19">
            <v>1016453</v>
          </cell>
        </row>
        <row r="23">
          <cell r="H23">
            <v>413918</v>
          </cell>
        </row>
        <row r="25">
          <cell r="I25">
            <v>813902</v>
          </cell>
        </row>
        <row r="30">
          <cell r="H30">
            <v>241895</v>
          </cell>
        </row>
        <row r="31">
          <cell r="H31">
            <v>6316419</v>
          </cell>
        </row>
        <row r="32">
          <cell r="H32">
            <v>3</v>
          </cell>
        </row>
        <row r="33">
          <cell r="H33">
            <v>403632</v>
          </cell>
        </row>
        <row r="34">
          <cell r="H34">
            <v>209870</v>
          </cell>
        </row>
        <row r="35">
          <cell r="H35">
            <v>678938</v>
          </cell>
        </row>
        <row r="36">
          <cell r="H36">
            <v>156200</v>
          </cell>
        </row>
        <row r="37">
          <cell r="H37">
            <v>504053</v>
          </cell>
        </row>
        <row r="38">
          <cell r="H38">
            <v>606446</v>
          </cell>
        </row>
        <row r="39">
          <cell r="H39">
            <v>4895656</v>
          </cell>
        </row>
        <row r="42">
          <cell r="H42">
            <v>23725907</v>
          </cell>
        </row>
        <row r="43">
          <cell r="H43">
            <v>2097229</v>
          </cell>
        </row>
        <row r="44">
          <cell r="H44">
            <v>59546</v>
          </cell>
        </row>
        <row r="46">
          <cell r="I46">
            <v>3444436</v>
          </cell>
        </row>
        <row r="49">
          <cell r="H49">
            <v>5932189</v>
          </cell>
        </row>
        <row r="50">
          <cell r="H50">
            <v>207926</v>
          </cell>
        </row>
        <row r="51">
          <cell r="H51">
            <v>5749990</v>
          </cell>
        </row>
        <row r="53">
          <cell r="I53">
            <v>8611603</v>
          </cell>
        </row>
        <row r="56">
          <cell r="H56">
            <v>3725907</v>
          </cell>
        </row>
        <row r="57">
          <cell r="H57">
            <v>4</v>
          </cell>
        </row>
        <row r="58">
          <cell r="H58">
            <v>22386621</v>
          </cell>
        </row>
        <row r="59">
          <cell r="H59">
            <v>340176</v>
          </cell>
        </row>
        <row r="61">
          <cell r="I61">
            <v>48292765</v>
          </cell>
        </row>
        <row r="63">
          <cell r="I63">
            <v>28554814</v>
          </cell>
        </row>
        <row r="65">
          <cell r="I65">
            <v>1580546</v>
          </cell>
        </row>
        <row r="67">
          <cell r="I67">
            <v>21468549</v>
          </cell>
        </row>
        <row r="73">
          <cell r="I73">
            <v>168953615</v>
          </cell>
        </row>
        <row r="77">
          <cell r="I77">
            <v>13882886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May15loa"/>
    </sheetNames>
    <sheetDataSet>
      <sheetData sheetId="0">
        <row r="10">
          <cell r="H10">
            <v>7606837</v>
          </cell>
        </row>
        <row r="19">
          <cell r="H19">
            <v>1019485</v>
          </cell>
        </row>
        <row r="23">
          <cell r="H23">
            <v>413824</v>
          </cell>
        </row>
        <row r="25">
          <cell r="I25">
            <v>728931</v>
          </cell>
        </row>
        <row r="30">
          <cell r="H30">
            <v>240115</v>
          </cell>
        </row>
        <row r="31">
          <cell r="H31">
            <v>6284217</v>
          </cell>
        </row>
        <row r="32">
          <cell r="H32">
            <v>3</v>
          </cell>
        </row>
        <row r="33">
          <cell r="H33">
            <v>400674</v>
          </cell>
        </row>
        <row r="34">
          <cell r="H34">
            <v>208672</v>
          </cell>
        </row>
        <row r="35">
          <cell r="H35">
            <v>682993</v>
          </cell>
        </row>
        <row r="36">
          <cell r="H36">
            <v>151938</v>
          </cell>
        </row>
        <row r="37">
          <cell r="H37">
            <v>305021</v>
          </cell>
        </row>
        <row r="38">
          <cell r="H38">
            <v>603029</v>
          </cell>
        </row>
        <row r="39">
          <cell r="H39">
            <v>4427140</v>
          </cell>
        </row>
        <row r="42">
          <cell r="H42">
            <v>23792671</v>
          </cell>
        </row>
        <row r="43">
          <cell r="H43">
            <v>2117251</v>
          </cell>
        </row>
        <row r="44">
          <cell r="H44">
            <v>60074</v>
          </cell>
        </row>
        <row r="46">
          <cell r="I46">
            <v>3534115</v>
          </cell>
        </row>
        <row r="49">
          <cell r="H49">
            <v>5987997</v>
          </cell>
        </row>
        <row r="50">
          <cell r="H50">
            <v>195301</v>
          </cell>
        </row>
        <row r="51">
          <cell r="H51">
            <v>5742380</v>
          </cell>
        </row>
        <row r="53">
          <cell r="I53">
            <v>8353404</v>
          </cell>
        </row>
        <row r="56">
          <cell r="H56">
            <v>3958285</v>
          </cell>
        </row>
        <row r="57">
          <cell r="H57">
            <v>0</v>
          </cell>
        </row>
        <row r="58">
          <cell r="H58">
            <v>23739209</v>
          </cell>
        </row>
        <row r="59">
          <cell r="H59">
            <v>336288</v>
          </cell>
        </row>
        <row r="61">
          <cell r="I61">
            <v>48822353</v>
          </cell>
        </row>
        <row r="63">
          <cell r="I63">
            <v>28556756</v>
          </cell>
        </row>
        <row r="65">
          <cell r="I65">
            <v>1634044</v>
          </cell>
        </row>
        <row r="67">
          <cell r="I67">
            <v>21718674</v>
          </cell>
        </row>
        <row r="73">
          <cell r="I73">
            <v>170169169</v>
          </cell>
        </row>
        <row r="77">
          <cell r="I77">
            <v>13925092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Jun15loa"/>
    </sheetNames>
    <sheetDataSet>
      <sheetData sheetId="0">
        <row r="10">
          <cell r="H10">
            <v>7219403</v>
          </cell>
        </row>
        <row r="19">
          <cell r="H19">
            <v>999433</v>
          </cell>
        </row>
        <row r="23">
          <cell r="H23">
            <v>414231</v>
          </cell>
        </row>
        <row r="25">
          <cell r="I25">
            <v>930109</v>
          </cell>
        </row>
        <row r="30">
          <cell r="H30">
            <v>252170</v>
          </cell>
        </row>
        <row r="31">
          <cell r="H31">
            <v>6679584</v>
          </cell>
        </row>
        <row r="32">
          <cell r="H32">
            <v>3</v>
          </cell>
        </row>
        <row r="33">
          <cell r="H33">
            <v>406010</v>
          </cell>
        </row>
        <row r="34">
          <cell r="H34">
            <v>210036</v>
          </cell>
        </row>
        <row r="35">
          <cell r="H35">
            <v>667273</v>
          </cell>
        </row>
        <row r="36">
          <cell r="H36">
            <v>164662</v>
          </cell>
        </row>
        <row r="37">
          <cell r="H37">
            <v>301582</v>
          </cell>
        </row>
        <row r="38">
          <cell r="H38">
            <v>609025</v>
          </cell>
        </row>
        <row r="39">
          <cell r="H39">
            <v>4880777</v>
          </cell>
        </row>
        <row r="42">
          <cell r="H42">
            <v>22144580</v>
          </cell>
        </row>
        <row r="43">
          <cell r="H43">
            <v>2179608</v>
          </cell>
        </row>
        <row r="44">
          <cell r="H44">
            <v>59001</v>
          </cell>
        </row>
        <row r="46">
          <cell r="I46">
            <v>3574564</v>
          </cell>
        </row>
        <row r="49">
          <cell r="H49">
            <v>5615668</v>
          </cell>
        </row>
        <row r="50">
          <cell r="H50">
            <v>183645</v>
          </cell>
        </row>
        <row r="51">
          <cell r="H51">
            <v>5779555</v>
          </cell>
        </row>
        <row r="53">
          <cell r="I53">
            <v>7794720</v>
          </cell>
        </row>
        <row r="56">
          <cell r="H56">
            <v>3909542</v>
          </cell>
        </row>
        <row r="57">
          <cell r="H57">
            <v>0</v>
          </cell>
        </row>
        <row r="58">
          <cell r="H58">
            <v>24284113</v>
          </cell>
        </row>
        <row r="59">
          <cell r="H59">
            <v>354807</v>
          </cell>
        </row>
        <row r="61">
          <cell r="I61">
            <v>48873998</v>
          </cell>
        </row>
        <row r="63">
          <cell r="I63">
            <v>29395762</v>
          </cell>
        </row>
        <row r="65">
          <cell r="I65">
            <v>1555683</v>
          </cell>
        </row>
        <row r="67">
          <cell r="I67">
            <v>22490982</v>
          </cell>
        </row>
        <row r="73">
          <cell r="I73">
            <v>171764210</v>
          </cell>
        </row>
        <row r="77">
          <cell r="I77">
            <v>12415405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Jul15loa"/>
    </sheetNames>
    <sheetDataSet>
      <sheetData sheetId="0">
        <row r="10">
          <cell r="H10">
            <v>7278693</v>
          </cell>
        </row>
        <row r="19">
          <cell r="H19">
            <v>946380</v>
          </cell>
        </row>
        <row r="23">
          <cell r="H23">
            <v>417331</v>
          </cell>
        </row>
        <row r="25">
          <cell r="I25">
            <v>943315</v>
          </cell>
        </row>
        <row r="30">
          <cell r="H30">
            <v>251893</v>
          </cell>
        </row>
        <row r="31">
          <cell r="H31">
            <v>6429221</v>
          </cell>
        </row>
        <row r="32">
          <cell r="H32">
            <v>6</v>
          </cell>
        </row>
        <row r="33">
          <cell r="H33">
            <v>401704</v>
          </cell>
        </row>
        <row r="34">
          <cell r="H34">
            <v>213337</v>
          </cell>
        </row>
        <row r="35">
          <cell r="H35">
            <v>653277</v>
          </cell>
        </row>
        <row r="36">
          <cell r="H36">
            <v>137519</v>
          </cell>
        </row>
        <row r="37">
          <cell r="H37">
            <v>295543</v>
          </cell>
        </row>
        <row r="38">
          <cell r="H38">
            <v>1455894</v>
          </cell>
        </row>
        <row r="39">
          <cell r="H39">
            <v>5172248</v>
          </cell>
        </row>
        <row r="42">
          <cell r="H42">
            <v>22532708</v>
          </cell>
        </row>
        <row r="43">
          <cell r="H43">
            <v>2183797</v>
          </cell>
        </row>
        <row r="44">
          <cell r="H44">
            <v>58984</v>
          </cell>
        </row>
        <row r="46">
          <cell r="I46">
            <v>3755549</v>
          </cell>
        </row>
        <row r="49">
          <cell r="H49">
            <v>5480562</v>
          </cell>
        </row>
        <row r="50">
          <cell r="H50">
            <v>174558</v>
          </cell>
        </row>
        <row r="51">
          <cell r="H51">
            <v>5799550</v>
          </cell>
        </row>
        <row r="53">
          <cell r="I53">
            <v>11869496</v>
          </cell>
        </row>
        <row r="56">
          <cell r="H56">
            <v>3923952</v>
          </cell>
        </row>
        <row r="57">
          <cell r="H57">
            <v>0</v>
          </cell>
        </row>
        <row r="58">
          <cell r="H58">
            <v>22935053</v>
          </cell>
        </row>
        <row r="59">
          <cell r="H59">
            <v>382180</v>
          </cell>
        </row>
        <row r="61">
          <cell r="I61">
            <v>49875760</v>
          </cell>
        </row>
        <row r="63">
          <cell r="I63">
            <v>29612656</v>
          </cell>
        </row>
        <row r="65">
          <cell r="I65">
            <v>1565591</v>
          </cell>
        </row>
        <row r="67">
          <cell r="I67">
            <v>22674465</v>
          </cell>
        </row>
        <row r="73">
          <cell r="I73">
            <v>172743922</v>
          </cell>
        </row>
        <row r="77">
          <cell r="I77">
            <v>12476291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ug15loa"/>
    </sheetNames>
    <sheetDataSet>
      <sheetData sheetId="0">
        <row r="10">
          <cell r="H10">
            <v>7147831</v>
          </cell>
        </row>
        <row r="19">
          <cell r="H19">
            <v>1334643</v>
          </cell>
        </row>
        <row r="23">
          <cell r="H23">
            <v>413377</v>
          </cell>
        </row>
        <row r="25">
          <cell r="I25">
            <v>974305</v>
          </cell>
        </row>
        <row r="30">
          <cell r="H30">
            <v>245807</v>
          </cell>
        </row>
        <row r="31">
          <cell r="H31">
            <v>6814975</v>
          </cell>
        </row>
        <row r="32">
          <cell r="H32">
            <v>312</v>
          </cell>
        </row>
        <row r="33">
          <cell r="H33">
            <v>409053</v>
          </cell>
        </row>
        <row r="34">
          <cell r="H34">
            <v>213134</v>
          </cell>
        </row>
        <row r="35">
          <cell r="H35">
            <v>647781</v>
          </cell>
        </row>
        <row r="36">
          <cell r="H36">
            <v>155545</v>
          </cell>
        </row>
        <row r="37">
          <cell r="H37">
            <v>262916</v>
          </cell>
        </row>
        <row r="38">
          <cell r="H38">
            <v>1461196</v>
          </cell>
        </row>
        <row r="39">
          <cell r="H39">
            <v>5105366</v>
          </cell>
        </row>
        <row r="42">
          <cell r="H42">
            <v>23486060</v>
          </cell>
        </row>
        <row r="43">
          <cell r="H43">
            <v>1981296</v>
          </cell>
        </row>
        <row r="44">
          <cell r="H44">
            <v>58095</v>
          </cell>
        </row>
        <row r="46">
          <cell r="I46">
            <v>4163935</v>
          </cell>
        </row>
        <row r="49">
          <cell r="H49">
            <v>5422472</v>
          </cell>
        </row>
        <row r="50">
          <cell r="H50">
            <v>173602</v>
          </cell>
        </row>
        <row r="51">
          <cell r="H51">
            <v>5741668</v>
          </cell>
        </row>
        <row r="53">
          <cell r="I53">
            <v>11757982</v>
          </cell>
        </row>
        <row r="56">
          <cell r="H56">
            <v>3882767</v>
          </cell>
        </row>
        <row r="57">
          <cell r="H57">
            <v>0</v>
          </cell>
        </row>
        <row r="58">
          <cell r="H58">
            <v>24626705</v>
          </cell>
        </row>
        <row r="59">
          <cell r="H59">
            <v>349824</v>
          </cell>
        </row>
        <row r="61">
          <cell r="I61">
            <v>49006541</v>
          </cell>
        </row>
        <row r="63">
          <cell r="I63">
            <v>30086633</v>
          </cell>
        </row>
        <row r="65">
          <cell r="I65">
            <v>1403681</v>
          </cell>
        </row>
        <row r="67">
          <cell r="I67">
            <v>23575114</v>
          </cell>
        </row>
        <row r="73">
          <cell r="I73">
            <v>174305829</v>
          </cell>
        </row>
        <row r="77">
          <cell r="I77">
            <v>16199432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ep15loa"/>
    </sheetNames>
    <sheetDataSet>
      <sheetData sheetId="0">
        <row r="10">
          <cell r="H10">
            <v>7494405</v>
          </cell>
        </row>
        <row r="19">
          <cell r="H19">
            <v>1328953</v>
          </cell>
        </row>
        <row r="23">
          <cell r="H23">
            <v>409502</v>
          </cell>
        </row>
        <row r="25">
          <cell r="I25">
            <v>887660</v>
          </cell>
        </row>
        <row r="30">
          <cell r="H30">
            <v>250156</v>
          </cell>
        </row>
        <row r="31">
          <cell r="H31">
            <v>7141026</v>
          </cell>
        </row>
        <row r="32">
          <cell r="H32">
            <v>11</v>
          </cell>
        </row>
        <row r="33">
          <cell r="H33">
            <v>512843</v>
          </cell>
        </row>
        <row r="34">
          <cell r="H34">
            <v>214996</v>
          </cell>
        </row>
        <row r="35">
          <cell r="H35">
            <v>637905</v>
          </cell>
        </row>
        <row r="36">
          <cell r="H36">
            <v>171802</v>
          </cell>
        </row>
        <row r="37">
          <cell r="H37">
            <v>257044</v>
          </cell>
        </row>
        <row r="38">
          <cell r="H38">
            <v>1510852</v>
          </cell>
        </row>
        <row r="39">
          <cell r="H39">
            <v>4968735</v>
          </cell>
        </row>
        <row r="42">
          <cell r="H42">
            <v>22828691</v>
          </cell>
        </row>
        <row r="43">
          <cell r="H43">
            <v>1931942</v>
          </cell>
        </row>
        <row r="44">
          <cell r="H44">
            <v>57509</v>
          </cell>
        </row>
        <row r="46">
          <cell r="I46">
            <v>4246002</v>
          </cell>
        </row>
        <row r="49">
          <cell r="H49">
            <v>5245718</v>
          </cell>
        </row>
        <row r="50">
          <cell r="H50">
            <v>227003</v>
          </cell>
        </row>
        <row r="51">
          <cell r="H51">
            <v>5168242</v>
          </cell>
        </row>
        <row r="53">
          <cell r="I53">
            <v>11812064</v>
          </cell>
        </row>
        <row r="56">
          <cell r="H56">
            <v>3860402</v>
          </cell>
        </row>
        <row r="57">
          <cell r="H57">
            <v>1</v>
          </cell>
        </row>
        <row r="58">
          <cell r="H58">
            <v>24309825</v>
          </cell>
        </row>
        <row r="59">
          <cell r="H59">
            <v>344476</v>
          </cell>
        </row>
        <row r="61">
          <cell r="I61">
            <v>49846552</v>
          </cell>
        </row>
        <row r="63">
          <cell r="I63">
            <v>30611940</v>
          </cell>
        </row>
        <row r="65">
          <cell r="I65">
            <v>1504688</v>
          </cell>
        </row>
        <row r="67">
          <cell r="I67">
            <v>24917648</v>
          </cell>
        </row>
        <row r="73">
          <cell r="I73">
            <v>176129455</v>
          </cell>
        </row>
        <row r="77">
          <cell r="I77">
            <v>16048707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Oct15loa"/>
    </sheetNames>
    <sheetDataSet>
      <sheetData sheetId="0">
        <row r="10">
          <cell r="H10">
            <v>7560440</v>
          </cell>
        </row>
        <row r="19">
          <cell r="H19">
            <v>1289900</v>
          </cell>
        </row>
        <row r="23">
          <cell r="H23">
            <v>410393</v>
          </cell>
        </row>
        <row r="25">
          <cell r="I25">
            <v>813346</v>
          </cell>
        </row>
        <row r="30">
          <cell r="H30">
            <v>233216</v>
          </cell>
        </row>
        <row r="31">
          <cell r="H31">
            <v>8018231</v>
          </cell>
        </row>
        <row r="32">
          <cell r="H32">
            <v>14</v>
          </cell>
        </row>
        <row r="33">
          <cell r="H33">
            <v>523951</v>
          </cell>
        </row>
        <row r="34">
          <cell r="H34">
            <v>238999</v>
          </cell>
        </row>
        <row r="35">
          <cell r="H35">
            <v>626271</v>
          </cell>
        </row>
        <row r="36">
          <cell r="H36">
            <v>175657</v>
          </cell>
        </row>
        <row r="37">
          <cell r="H37">
            <v>245995</v>
          </cell>
        </row>
        <row r="38">
          <cell r="H38">
            <v>1513140</v>
          </cell>
        </row>
        <row r="39">
          <cell r="H39">
            <v>4858696</v>
          </cell>
        </row>
        <row r="42">
          <cell r="H42">
            <v>25130715</v>
          </cell>
        </row>
        <row r="43">
          <cell r="H43">
            <v>1932211</v>
          </cell>
        </row>
        <row r="44">
          <cell r="H44">
            <v>58072</v>
          </cell>
        </row>
        <row r="46">
          <cell r="I46">
            <v>4314216</v>
          </cell>
        </row>
        <row r="49">
          <cell r="H49">
            <v>5191623</v>
          </cell>
        </row>
        <row r="50">
          <cell r="H50">
            <v>216081</v>
          </cell>
        </row>
        <row r="51">
          <cell r="H51">
            <v>5093988</v>
          </cell>
        </row>
        <row r="53">
          <cell r="I53">
            <v>9519730</v>
          </cell>
        </row>
        <row r="56">
          <cell r="H56">
            <v>3782904</v>
          </cell>
        </row>
        <row r="57">
          <cell r="H57">
            <v>43</v>
          </cell>
        </row>
        <row r="58">
          <cell r="H58">
            <v>26069570</v>
          </cell>
        </row>
        <row r="59">
          <cell r="H59">
            <v>349502</v>
          </cell>
        </row>
        <row r="61">
          <cell r="I61">
            <v>50564914</v>
          </cell>
        </row>
        <row r="63">
          <cell r="I63">
            <v>32366036</v>
          </cell>
        </row>
        <row r="65">
          <cell r="I65">
            <v>1556564</v>
          </cell>
        </row>
        <row r="67">
          <cell r="I67">
            <v>25965272</v>
          </cell>
        </row>
        <row r="73">
          <cell r="I73">
            <v>178010406</v>
          </cell>
        </row>
        <row r="77">
          <cell r="I77">
            <v>12974935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Nov15loa"/>
    </sheetNames>
    <sheetDataSet>
      <sheetData sheetId="0">
        <row r="10">
          <cell r="H10">
            <v>7802901</v>
          </cell>
        </row>
        <row r="19">
          <cell r="H19">
            <v>1236032</v>
          </cell>
        </row>
        <row r="23">
          <cell r="H23">
            <v>394724</v>
          </cell>
        </row>
        <row r="25">
          <cell r="I25">
            <v>793242</v>
          </cell>
        </row>
        <row r="30">
          <cell r="H30">
            <v>240683</v>
          </cell>
        </row>
        <row r="31">
          <cell r="H31">
            <v>7938857</v>
          </cell>
        </row>
        <row r="32">
          <cell r="H32">
            <v>23</v>
          </cell>
        </row>
        <row r="33">
          <cell r="H33">
            <v>536296</v>
          </cell>
        </row>
        <row r="34">
          <cell r="H34">
            <v>245346</v>
          </cell>
        </row>
        <row r="35">
          <cell r="H35">
            <v>630313</v>
          </cell>
        </row>
        <row r="36">
          <cell r="H36">
            <v>171821</v>
          </cell>
        </row>
        <row r="37">
          <cell r="H37">
            <v>255639</v>
          </cell>
        </row>
        <row r="38">
          <cell r="H38">
            <v>1513673</v>
          </cell>
        </row>
        <row r="39">
          <cell r="H39">
            <v>4863058</v>
          </cell>
        </row>
        <row r="42">
          <cell r="H42">
            <v>22927274</v>
          </cell>
        </row>
        <row r="43">
          <cell r="H43">
            <v>2184301</v>
          </cell>
        </row>
        <row r="44">
          <cell r="H44">
            <v>579253</v>
          </cell>
        </row>
        <row r="46">
          <cell r="I46">
            <v>4371777</v>
          </cell>
        </row>
        <row r="49">
          <cell r="H49">
            <v>5413051</v>
          </cell>
        </row>
        <row r="50">
          <cell r="H50">
            <v>262608</v>
          </cell>
        </row>
        <row r="51">
          <cell r="H51">
            <v>5093269</v>
          </cell>
        </row>
        <row r="53">
          <cell r="I53">
            <v>12125806</v>
          </cell>
        </row>
        <row r="56">
          <cell r="H56">
            <v>3807373</v>
          </cell>
        </row>
        <row r="57">
          <cell r="H57">
            <v>0</v>
          </cell>
        </row>
        <row r="58">
          <cell r="H58">
            <v>25053108</v>
          </cell>
        </row>
        <row r="59">
          <cell r="H59">
            <v>307377</v>
          </cell>
        </row>
        <row r="61">
          <cell r="I61">
            <v>51053056</v>
          </cell>
        </row>
        <row r="63">
          <cell r="I63">
            <v>33102802</v>
          </cell>
        </row>
        <row r="65">
          <cell r="I65">
            <v>1579183</v>
          </cell>
        </row>
        <row r="67">
          <cell r="I67">
            <v>25949311</v>
          </cell>
        </row>
        <row r="73">
          <cell r="I73">
            <v>180151605</v>
          </cell>
        </row>
        <row r="77">
          <cell r="I77">
            <v>14462331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pr10loa"/>
    </sheetNames>
    <sheetDataSet>
      <sheetData sheetId="0">
        <row r="10">
          <cell r="I10">
            <v>6197183</v>
          </cell>
        </row>
        <row r="19">
          <cell r="I19">
            <v>150762</v>
          </cell>
        </row>
        <row r="23">
          <cell r="I23">
            <v>398</v>
          </cell>
        </row>
        <row r="25">
          <cell r="J25">
            <v>376383</v>
          </cell>
        </row>
        <row r="30">
          <cell r="I30">
            <v>196557</v>
          </cell>
        </row>
        <row r="31">
          <cell r="I31">
            <v>2540276</v>
          </cell>
        </row>
        <row r="32">
          <cell r="I32">
            <v>0</v>
          </cell>
        </row>
        <row r="33">
          <cell r="I33">
            <v>119047</v>
          </cell>
        </row>
        <row r="34">
          <cell r="I34">
            <v>156177</v>
          </cell>
        </row>
        <row r="35">
          <cell r="I35">
            <v>471230</v>
          </cell>
        </row>
        <row r="36">
          <cell r="I36">
            <v>350117</v>
          </cell>
        </row>
        <row r="37">
          <cell r="I37">
            <v>1112397</v>
          </cell>
        </row>
        <row r="38">
          <cell r="I38">
            <v>851024</v>
          </cell>
        </row>
        <row r="39">
          <cell r="I39">
            <v>3058373</v>
          </cell>
        </row>
        <row r="42">
          <cell r="I42">
            <v>18842430</v>
          </cell>
        </row>
        <row r="43">
          <cell r="I43">
            <v>1114677</v>
          </cell>
        </row>
        <row r="44">
          <cell r="I44">
            <v>188501</v>
          </cell>
        </row>
        <row r="46">
          <cell r="J46">
            <v>959467</v>
          </cell>
        </row>
        <row r="49">
          <cell r="I49">
            <v>4691879</v>
          </cell>
        </row>
        <row r="50">
          <cell r="I50">
            <v>313403</v>
          </cell>
        </row>
        <row r="51">
          <cell r="I51">
            <v>4393160</v>
          </cell>
        </row>
        <row r="53">
          <cell r="J53">
            <v>4545768</v>
          </cell>
        </row>
        <row r="56">
          <cell r="I56">
            <v>12358307</v>
          </cell>
        </row>
        <row r="57">
          <cell r="I57">
            <v>850</v>
          </cell>
        </row>
        <row r="58">
          <cell r="I58">
            <v>17663740</v>
          </cell>
        </row>
        <row r="59">
          <cell r="I59">
            <v>4516271</v>
          </cell>
        </row>
        <row r="61">
          <cell r="J61">
            <v>26248642</v>
          </cell>
        </row>
        <row r="63">
          <cell r="J63">
            <v>34011446</v>
          </cell>
        </row>
        <row r="65">
          <cell r="J65">
            <v>493090</v>
          </cell>
        </row>
        <row r="67">
          <cell r="J67">
            <v>17402295</v>
          </cell>
        </row>
        <row r="73">
          <cell r="J73">
            <v>83168711</v>
          </cell>
        </row>
        <row r="77">
          <cell r="J77">
            <v>6993360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ec15loa"/>
    </sheetNames>
    <sheetDataSet>
      <sheetData sheetId="0">
        <row r="10">
          <cell r="H10">
            <v>7711129</v>
          </cell>
        </row>
        <row r="19">
          <cell r="H19">
            <v>1220812</v>
          </cell>
        </row>
        <row r="23">
          <cell r="H23">
            <v>112406</v>
          </cell>
        </row>
        <row r="25">
          <cell r="I25">
            <v>786895</v>
          </cell>
        </row>
        <row r="30">
          <cell r="H30">
            <v>252509</v>
          </cell>
        </row>
        <row r="31">
          <cell r="H31">
            <v>7623580</v>
          </cell>
        </row>
        <row r="32">
          <cell r="H32">
            <v>19</v>
          </cell>
        </row>
        <row r="33">
          <cell r="H33">
            <v>507686</v>
          </cell>
        </row>
        <row r="34">
          <cell r="H34">
            <v>248178</v>
          </cell>
        </row>
        <row r="35">
          <cell r="H35">
            <v>630549</v>
          </cell>
        </row>
        <row r="36">
          <cell r="H36">
            <v>166522</v>
          </cell>
        </row>
        <row r="37">
          <cell r="H37">
            <v>241551</v>
          </cell>
        </row>
        <row r="38">
          <cell r="H38">
            <v>1522267</v>
          </cell>
        </row>
        <row r="39">
          <cell r="H39">
            <v>4630230</v>
          </cell>
        </row>
        <row r="42">
          <cell r="H42">
            <v>23372171</v>
          </cell>
        </row>
        <row r="43">
          <cell r="H43">
            <v>2203835</v>
          </cell>
        </row>
        <row r="44">
          <cell r="H44">
            <v>581029</v>
          </cell>
        </row>
        <row r="46">
          <cell r="I46">
            <v>4741276</v>
          </cell>
        </row>
        <row r="49">
          <cell r="H49">
            <v>5656352</v>
          </cell>
        </row>
        <row r="50">
          <cell r="H50">
            <v>254998</v>
          </cell>
        </row>
        <row r="51">
          <cell r="H51">
            <v>5099149</v>
          </cell>
        </row>
        <row r="53">
          <cell r="I53">
            <v>11347213</v>
          </cell>
        </row>
        <row r="56">
          <cell r="H56">
            <v>3772917</v>
          </cell>
        </row>
        <row r="57">
          <cell r="H57">
            <v>163</v>
          </cell>
        </row>
        <row r="58">
          <cell r="H58">
            <v>21837181</v>
          </cell>
        </row>
        <row r="59">
          <cell r="H59">
            <v>245406</v>
          </cell>
        </row>
        <row r="61">
          <cell r="I61">
            <v>50815692</v>
          </cell>
        </row>
        <row r="63">
          <cell r="I63">
            <v>33794971</v>
          </cell>
        </row>
        <row r="65">
          <cell r="I65">
            <v>1609149</v>
          </cell>
        </row>
        <row r="67">
          <cell r="I67">
            <v>27399764</v>
          </cell>
        </row>
        <row r="73">
          <cell r="I73">
            <v>181535281</v>
          </cell>
        </row>
        <row r="77">
          <cell r="I77">
            <v>14230534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Jan16loa"/>
    </sheetNames>
    <sheetDataSet>
      <sheetData sheetId="0">
        <row r="10">
          <cell r="H10">
            <v>8479257</v>
          </cell>
        </row>
        <row r="19">
          <cell r="H19">
            <v>1188894</v>
          </cell>
        </row>
        <row r="23">
          <cell r="H23">
            <v>110010</v>
          </cell>
        </row>
        <row r="25">
          <cell r="I25">
            <v>786237</v>
          </cell>
        </row>
        <row r="30">
          <cell r="H30">
            <v>24670</v>
          </cell>
        </row>
        <row r="31">
          <cell r="H31">
            <v>10601655</v>
          </cell>
        </row>
        <row r="32">
          <cell r="H32">
            <v>0</v>
          </cell>
        </row>
        <row r="33">
          <cell r="H33">
            <v>514480</v>
          </cell>
        </row>
        <row r="34">
          <cell r="H34">
            <v>247075</v>
          </cell>
        </row>
        <row r="35">
          <cell r="H35">
            <v>567987</v>
          </cell>
        </row>
        <row r="36">
          <cell r="H36">
            <v>172528</v>
          </cell>
        </row>
        <row r="37">
          <cell r="H37">
            <v>204265</v>
          </cell>
        </row>
        <row r="38">
          <cell r="H38">
            <v>1559215</v>
          </cell>
        </row>
        <row r="39">
          <cell r="H39">
            <v>4543762</v>
          </cell>
        </row>
        <row r="42">
          <cell r="H42">
            <v>20742635</v>
          </cell>
        </row>
        <row r="43">
          <cell r="H43">
            <v>2214011</v>
          </cell>
        </row>
        <row r="44">
          <cell r="H44">
            <v>584713</v>
          </cell>
        </row>
        <row r="46">
          <cell r="I46">
            <v>4906922</v>
          </cell>
        </row>
        <row r="49">
          <cell r="H49">
            <v>5657828</v>
          </cell>
        </row>
        <row r="50">
          <cell r="H50">
            <v>265630</v>
          </cell>
        </row>
        <row r="51">
          <cell r="H51">
            <v>5148515</v>
          </cell>
        </row>
        <row r="53">
          <cell r="I53">
            <v>11165791</v>
          </cell>
        </row>
        <row r="56">
          <cell r="H56">
            <v>3642206</v>
          </cell>
        </row>
        <row r="57">
          <cell r="H57">
            <v>5</v>
          </cell>
        </row>
        <row r="58">
          <cell r="H58">
            <v>25267600</v>
          </cell>
        </row>
        <row r="59">
          <cell r="H59">
            <v>248254</v>
          </cell>
        </row>
        <row r="61">
          <cell r="I61">
            <v>50637848</v>
          </cell>
        </row>
        <row r="63">
          <cell r="I63">
            <v>33738303</v>
          </cell>
        </row>
        <row r="65">
          <cell r="I65">
            <v>1585691</v>
          </cell>
        </row>
        <row r="67">
          <cell r="I67">
            <v>26745276</v>
          </cell>
        </row>
        <row r="73">
          <cell r="I73">
            <v>182812147</v>
          </cell>
        </row>
        <row r="77">
          <cell r="I77">
            <v>14301418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Feb16loa"/>
    </sheetNames>
    <sheetDataSet>
      <sheetData sheetId="0">
        <row r="10">
          <cell r="H10">
            <v>9668409</v>
          </cell>
        </row>
        <row r="19">
          <cell r="H19">
            <v>464619</v>
          </cell>
        </row>
        <row r="23">
          <cell r="H23">
            <v>104447</v>
          </cell>
        </row>
        <row r="25">
          <cell r="I25">
            <v>781391</v>
          </cell>
        </row>
        <row r="30">
          <cell r="H30">
            <v>21376</v>
          </cell>
        </row>
        <row r="31">
          <cell r="H31">
            <v>10526789</v>
          </cell>
        </row>
        <row r="32">
          <cell r="H32">
            <v>0</v>
          </cell>
        </row>
        <row r="33">
          <cell r="H33">
            <v>517185</v>
          </cell>
        </row>
        <row r="34">
          <cell r="H34">
            <v>246872</v>
          </cell>
        </row>
        <row r="35">
          <cell r="H35">
            <v>566152</v>
          </cell>
        </row>
        <row r="36">
          <cell r="H36">
            <v>181006</v>
          </cell>
        </row>
        <row r="37">
          <cell r="H37">
            <v>204310</v>
          </cell>
        </row>
        <row r="38">
          <cell r="H38">
            <v>1546106</v>
          </cell>
        </row>
        <row r="39">
          <cell r="H39">
            <v>4655044</v>
          </cell>
        </row>
        <row r="42">
          <cell r="H42">
            <v>20497596</v>
          </cell>
        </row>
        <row r="43">
          <cell r="H43">
            <v>2207291</v>
          </cell>
        </row>
        <row r="44">
          <cell r="H44">
            <v>610702</v>
          </cell>
        </row>
        <row r="46">
          <cell r="I46">
            <v>4985621</v>
          </cell>
        </row>
        <row r="49">
          <cell r="H49">
            <v>5645765</v>
          </cell>
        </row>
        <row r="50">
          <cell r="H50">
            <v>249271</v>
          </cell>
        </row>
        <row r="51">
          <cell r="H51">
            <v>5176597</v>
          </cell>
        </row>
        <row r="53">
          <cell r="I53">
            <v>11324876</v>
          </cell>
        </row>
        <row r="56">
          <cell r="H56">
            <v>3417619</v>
          </cell>
        </row>
        <row r="57">
          <cell r="H57">
            <v>7</v>
          </cell>
        </row>
        <row r="58">
          <cell r="H58">
            <v>25239960</v>
          </cell>
        </row>
        <row r="59">
          <cell r="H59">
            <v>250703</v>
          </cell>
        </row>
        <row r="61">
          <cell r="I61">
            <v>50117922</v>
          </cell>
        </row>
        <row r="63">
          <cell r="I63">
            <v>34087466</v>
          </cell>
        </row>
        <row r="65">
          <cell r="I65">
            <v>1569311</v>
          </cell>
        </row>
        <row r="67">
          <cell r="I67">
            <v>26881466</v>
          </cell>
        </row>
        <row r="73">
          <cell r="I73">
            <v>184053663</v>
          </cell>
        </row>
        <row r="77">
          <cell r="I77">
            <v>14492697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Mar16loa"/>
    </sheetNames>
    <sheetDataSet>
      <sheetData sheetId="0">
        <row r="10">
          <cell r="H10">
            <v>9414181</v>
          </cell>
        </row>
        <row r="19">
          <cell r="H19">
            <v>451484</v>
          </cell>
        </row>
        <row r="23">
          <cell r="H23">
            <v>101997</v>
          </cell>
        </row>
        <row r="25">
          <cell r="I25">
            <v>764105</v>
          </cell>
        </row>
        <row r="30">
          <cell r="H30">
            <v>24221</v>
          </cell>
        </row>
        <row r="31">
          <cell r="H31">
            <v>7948340</v>
          </cell>
        </row>
        <row r="32">
          <cell r="H32">
            <v>0</v>
          </cell>
        </row>
        <row r="33">
          <cell r="H33">
            <v>523796</v>
          </cell>
        </row>
        <row r="34">
          <cell r="H34">
            <v>244758</v>
          </cell>
        </row>
        <row r="35">
          <cell r="H35">
            <v>554268</v>
          </cell>
        </row>
        <row r="36">
          <cell r="H36">
            <v>187031</v>
          </cell>
        </row>
        <row r="37">
          <cell r="H37">
            <v>225717</v>
          </cell>
        </row>
        <row r="38">
          <cell r="H38">
            <v>1553526</v>
          </cell>
        </row>
        <row r="39">
          <cell r="H39">
            <v>5111826</v>
          </cell>
        </row>
        <row r="42">
          <cell r="H42">
            <v>20795607</v>
          </cell>
        </row>
        <row r="43">
          <cell r="H43">
            <v>2351101</v>
          </cell>
        </row>
        <row r="44">
          <cell r="H44">
            <v>613299</v>
          </cell>
        </row>
        <row r="46">
          <cell r="I46">
            <v>5244020</v>
          </cell>
        </row>
        <row r="49">
          <cell r="H49">
            <v>6225570</v>
          </cell>
        </row>
        <row r="50">
          <cell r="H50">
            <v>263985</v>
          </cell>
        </row>
        <row r="51">
          <cell r="H51">
            <v>4346401</v>
          </cell>
        </row>
        <row r="53">
          <cell r="I53">
            <v>10983028</v>
          </cell>
        </row>
        <row r="56">
          <cell r="H56">
            <v>6513487</v>
          </cell>
        </row>
        <row r="57">
          <cell r="H57">
            <v>10</v>
          </cell>
        </row>
        <row r="58">
          <cell r="H58">
            <v>24613626</v>
          </cell>
        </row>
        <row r="59">
          <cell r="H59">
            <v>247226</v>
          </cell>
        </row>
        <row r="61">
          <cell r="I61">
            <v>52761198</v>
          </cell>
        </row>
        <row r="63">
          <cell r="I63">
            <v>34458013</v>
          </cell>
        </row>
        <row r="65">
          <cell r="I65">
            <v>1683009</v>
          </cell>
        </row>
        <row r="67">
          <cell r="I67">
            <v>27319734</v>
          </cell>
        </row>
        <row r="73">
          <cell r="I73">
            <v>183227053</v>
          </cell>
        </row>
        <row r="77">
          <cell r="I77">
            <v>14813037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Apr16loa"/>
    </sheetNames>
    <sheetDataSet>
      <sheetData sheetId="0">
        <row r="10">
          <cell r="H10">
            <v>9375620</v>
          </cell>
        </row>
        <row r="19">
          <cell r="H19">
            <v>479586</v>
          </cell>
        </row>
        <row r="23">
          <cell r="H23">
            <v>100684</v>
          </cell>
        </row>
        <row r="25">
          <cell r="I25">
            <v>735248</v>
          </cell>
        </row>
        <row r="30">
          <cell r="H30">
            <v>19115</v>
          </cell>
        </row>
        <row r="31">
          <cell r="H31">
            <v>8010185</v>
          </cell>
        </row>
        <row r="32">
          <cell r="H32">
            <v>0</v>
          </cell>
        </row>
        <row r="33">
          <cell r="H33">
            <v>536920</v>
          </cell>
        </row>
        <row r="34">
          <cell r="H34">
            <v>254286</v>
          </cell>
        </row>
        <row r="35">
          <cell r="H35">
            <v>558368</v>
          </cell>
        </row>
        <row r="36">
          <cell r="H36">
            <v>172745</v>
          </cell>
        </row>
        <row r="37">
          <cell r="H37">
            <v>212867</v>
          </cell>
        </row>
        <row r="38">
          <cell r="H38">
            <v>1575736</v>
          </cell>
        </row>
        <row r="39">
          <cell r="H39">
            <v>4857117</v>
          </cell>
        </row>
        <row r="42">
          <cell r="H42">
            <v>20474221</v>
          </cell>
        </row>
        <row r="43">
          <cell r="H43">
            <v>2374689</v>
          </cell>
        </row>
        <row r="44">
          <cell r="H44">
            <v>699125</v>
          </cell>
        </row>
        <row r="46">
          <cell r="I46">
            <v>5484438</v>
          </cell>
        </row>
        <row r="49">
          <cell r="H49">
            <v>6163632</v>
          </cell>
        </row>
        <row r="50">
          <cell r="H50">
            <v>245472</v>
          </cell>
        </row>
        <row r="51">
          <cell r="H51">
            <v>4395966</v>
          </cell>
        </row>
        <row r="53">
          <cell r="I53">
            <v>12134576</v>
          </cell>
        </row>
        <row r="56">
          <cell r="H56">
            <v>3430736</v>
          </cell>
        </row>
        <row r="57">
          <cell r="H57">
            <v>659</v>
          </cell>
        </row>
        <row r="58">
          <cell r="H58">
            <v>23346601</v>
          </cell>
        </row>
        <row r="59">
          <cell r="H59">
            <v>459123</v>
          </cell>
        </row>
        <row r="61">
          <cell r="I61">
            <v>49757081</v>
          </cell>
        </row>
        <row r="63">
          <cell r="I63">
            <v>34825132</v>
          </cell>
        </row>
        <row r="65">
          <cell r="I65">
            <v>1684661</v>
          </cell>
        </row>
        <row r="67">
          <cell r="I67">
            <v>27804831</v>
          </cell>
        </row>
        <row r="73">
          <cell r="I73">
            <v>187379636</v>
          </cell>
        </row>
        <row r="77">
          <cell r="I77">
            <v>16530607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May16loa"/>
    </sheetNames>
    <sheetDataSet>
      <sheetData sheetId="0">
        <row r="10">
          <cell r="H10">
            <v>9390333</v>
          </cell>
        </row>
        <row r="19">
          <cell r="H19">
            <v>477608</v>
          </cell>
        </row>
        <row r="23">
          <cell r="H23">
            <v>95238</v>
          </cell>
        </row>
        <row r="25">
          <cell r="I25">
            <v>701058</v>
          </cell>
        </row>
        <row r="30">
          <cell r="H30">
            <v>36389</v>
          </cell>
        </row>
        <row r="31">
          <cell r="H31">
            <v>7938118</v>
          </cell>
        </row>
        <row r="32">
          <cell r="H32">
            <v>0</v>
          </cell>
        </row>
        <row r="33">
          <cell r="H33">
            <v>535270</v>
          </cell>
        </row>
        <row r="34">
          <cell r="H34">
            <v>248804</v>
          </cell>
        </row>
        <row r="35">
          <cell r="H35">
            <v>538392</v>
          </cell>
        </row>
        <row r="36">
          <cell r="H36">
            <v>178141</v>
          </cell>
        </row>
        <row r="37">
          <cell r="H37">
            <v>188605</v>
          </cell>
        </row>
        <row r="38">
          <cell r="H38">
            <v>1554508</v>
          </cell>
        </row>
        <row r="39">
          <cell r="H39">
            <v>4781841</v>
          </cell>
        </row>
        <row r="42">
          <cell r="H42">
            <v>20929885</v>
          </cell>
        </row>
        <row r="43">
          <cell r="H43">
            <v>2273214</v>
          </cell>
        </row>
        <row r="44">
          <cell r="H44">
            <v>2171512</v>
          </cell>
        </row>
        <row r="46">
          <cell r="I46">
            <v>33975782</v>
          </cell>
        </row>
        <row r="49">
          <cell r="H49">
            <v>6433946</v>
          </cell>
        </row>
        <row r="50">
          <cell r="H50">
            <v>372854</v>
          </cell>
        </row>
        <row r="51">
          <cell r="H51">
            <v>4436844</v>
          </cell>
        </row>
        <row r="53">
          <cell r="I53">
            <v>12662761</v>
          </cell>
        </row>
        <row r="56">
          <cell r="H56">
            <v>3464558</v>
          </cell>
        </row>
        <row r="57">
          <cell r="H57">
            <v>14</v>
          </cell>
        </row>
        <row r="58">
          <cell r="H58">
            <v>23406813</v>
          </cell>
        </row>
        <row r="59">
          <cell r="H59">
            <v>253725</v>
          </cell>
        </row>
        <row r="61">
          <cell r="I61">
            <v>50179051</v>
          </cell>
        </row>
        <row r="63">
          <cell r="I63">
            <v>36618253</v>
          </cell>
        </row>
        <row r="65">
          <cell r="I65">
            <v>1722188</v>
          </cell>
        </row>
        <row r="67">
          <cell r="I67">
            <v>27775867</v>
          </cell>
        </row>
        <row r="73">
          <cell r="I73">
            <v>190008009</v>
          </cell>
        </row>
        <row r="77">
          <cell r="I77">
            <v>16485570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Jun16loa"/>
    </sheetNames>
    <sheetDataSet>
      <sheetData sheetId="0">
        <row r="10">
          <cell r="H10">
            <v>9324970</v>
          </cell>
        </row>
        <row r="19">
          <cell r="H19">
            <v>476721</v>
          </cell>
        </row>
        <row r="23">
          <cell r="H23">
            <v>92857</v>
          </cell>
        </row>
        <row r="25">
          <cell r="I25">
            <v>692203</v>
          </cell>
        </row>
        <row r="30">
          <cell r="H30">
            <v>20468</v>
          </cell>
        </row>
        <row r="31">
          <cell r="H31">
            <v>7885975</v>
          </cell>
        </row>
        <row r="32">
          <cell r="H32">
            <v>0</v>
          </cell>
        </row>
        <row r="33">
          <cell r="H33">
            <v>521408</v>
          </cell>
        </row>
        <row r="34">
          <cell r="H34">
            <v>250748</v>
          </cell>
        </row>
        <row r="35">
          <cell r="H35">
            <v>562891</v>
          </cell>
        </row>
        <row r="36">
          <cell r="H36">
            <v>170941</v>
          </cell>
        </row>
        <row r="37">
          <cell r="H37">
            <v>195635</v>
          </cell>
        </row>
        <row r="38">
          <cell r="H38">
            <v>1555605</v>
          </cell>
        </row>
        <row r="39">
          <cell r="H39">
            <v>4647822</v>
          </cell>
        </row>
        <row r="42">
          <cell r="H42">
            <v>21554072</v>
          </cell>
        </row>
        <row r="43">
          <cell r="H43">
            <v>2177529</v>
          </cell>
        </row>
        <row r="44">
          <cell r="H44">
            <v>2188469</v>
          </cell>
        </row>
        <row r="46">
          <cell r="I46">
            <v>33950273</v>
          </cell>
        </row>
        <row r="49">
          <cell r="H49">
            <v>6320126</v>
          </cell>
        </row>
        <row r="50">
          <cell r="H50">
            <v>366135</v>
          </cell>
        </row>
        <row r="51">
          <cell r="H51">
            <v>4225756</v>
          </cell>
        </row>
        <row r="53">
          <cell r="I53">
            <v>17276148</v>
          </cell>
        </row>
        <row r="56">
          <cell r="H56">
            <v>3371467</v>
          </cell>
        </row>
        <row r="57">
          <cell r="H57">
            <v>12</v>
          </cell>
        </row>
        <row r="58">
          <cell r="H58">
            <v>23713015</v>
          </cell>
        </row>
        <row r="59">
          <cell r="H59">
            <v>246106</v>
          </cell>
        </row>
        <row r="61">
          <cell r="I61">
            <v>51579527</v>
          </cell>
        </row>
        <row r="63">
          <cell r="I63">
            <v>36798110</v>
          </cell>
        </row>
        <row r="65">
          <cell r="I65">
            <v>1689932</v>
          </cell>
        </row>
        <row r="67">
          <cell r="I67">
            <v>28069577</v>
          </cell>
        </row>
        <row r="73">
          <cell r="I73">
            <v>192593669</v>
          </cell>
        </row>
        <row r="77">
          <cell r="I77">
            <v>16396011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Jul16loa"/>
    </sheetNames>
    <sheetDataSet>
      <sheetData sheetId="0">
        <row r="10">
          <cell r="H10">
            <v>9167900</v>
          </cell>
        </row>
        <row r="19">
          <cell r="H19">
            <v>474674</v>
          </cell>
        </row>
        <row r="23">
          <cell r="H23">
            <v>93423</v>
          </cell>
        </row>
        <row r="25">
          <cell r="I25">
            <v>699428</v>
          </cell>
        </row>
        <row r="30">
          <cell r="H30">
            <v>20829</v>
          </cell>
        </row>
        <row r="31">
          <cell r="H31">
            <v>7926729</v>
          </cell>
        </row>
        <row r="32">
          <cell r="H32">
            <v>0</v>
          </cell>
        </row>
        <row r="33">
          <cell r="H33">
            <v>499935</v>
          </cell>
        </row>
        <row r="34">
          <cell r="H34">
            <v>252591</v>
          </cell>
        </row>
        <row r="35">
          <cell r="H35">
            <v>544696</v>
          </cell>
        </row>
        <row r="36">
          <cell r="H36">
            <v>175382</v>
          </cell>
        </row>
        <row r="37">
          <cell r="H37">
            <v>186324</v>
          </cell>
        </row>
        <row r="38">
          <cell r="H38">
            <v>1666950</v>
          </cell>
        </row>
        <row r="39">
          <cell r="H39">
            <v>4645245</v>
          </cell>
        </row>
        <row r="42">
          <cell r="H42">
            <v>21770086</v>
          </cell>
        </row>
        <row r="43">
          <cell r="H43">
            <v>2241562</v>
          </cell>
        </row>
        <row r="44">
          <cell r="H44">
            <v>2162462</v>
          </cell>
        </row>
        <row r="46">
          <cell r="I46">
            <v>34024034</v>
          </cell>
        </row>
        <row r="49">
          <cell r="H49">
            <v>6490032</v>
          </cell>
        </row>
        <row r="50">
          <cell r="H50">
            <v>364207</v>
          </cell>
        </row>
        <row r="51">
          <cell r="H51">
            <v>4322373</v>
          </cell>
        </row>
        <row r="53">
          <cell r="I53">
            <v>16772417</v>
          </cell>
        </row>
        <row r="56">
          <cell r="H56">
            <v>3452865</v>
          </cell>
        </row>
        <row r="57">
          <cell r="H57">
            <v>6</v>
          </cell>
        </row>
        <row r="58">
          <cell r="H58">
            <v>24286706</v>
          </cell>
        </row>
        <row r="59">
          <cell r="H59">
            <v>210841</v>
          </cell>
        </row>
        <row r="61">
          <cell r="I61">
            <v>52352712</v>
          </cell>
        </row>
        <row r="63">
          <cell r="I63">
            <v>40494287</v>
          </cell>
        </row>
        <row r="65">
          <cell r="I65">
            <v>1712449</v>
          </cell>
        </row>
        <row r="67">
          <cell r="I67">
            <v>28272006</v>
          </cell>
        </row>
        <row r="73">
          <cell r="I73">
            <v>195180960</v>
          </cell>
        </row>
        <row r="77">
          <cell r="I77">
            <v>16463354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ug16loa"/>
    </sheetNames>
    <sheetDataSet>
      <sheetData sheetId="0">
        <row r="10">
          <cell r="H10">
            <v>9175903</v>
          </cell>
        </row>
        <row r="19">
          <cell r="H19">
            <v>495413</v>
          </cell>
        </row>
        <row r="23">
          <cell r="H23">
            <v>115395</v>
          </cell>
        </row>
        <row r="25">
          <cell r="I25">
            <v>735210</v>
          </cell>
        </row>
        <row r="30">
          <cell r="H30">
            <v>21200</v>
          </cell>
        </row>
        <row r="31">
          <cell r="H31">
            <v>8073393</v>
          </cell>
        </row>
        <row r="32">
          <cell r="H32">
            <v>1</v>
          </cell>
        </row>
        <row r="33">
          <cell r="H33">
            <v>538424</v>
          </cell>
        </row>
        <row r="34">
          <cell r="H34">
            <v>267004</v>
          </cell>
        </row>
        <row r="35">
          <cell r="H35">
            <v>553377</v>
          </cell>
        </row>
        <row r="36">
          <cell r="H36">
            <v>180841</v>
          </cell>
        </row>
        <row r="37">
          <cell r="H37">
            <v>193246</v>
          </cell>
        </row>
        <row r="38">
          <cell r="H38">
            <v>1648159</v>
          </cell>
        </row>
        <row r="39">
          <cell r="H39">
            <v>4595209</v>
          </cell>
        </row>
        <row r="42">
          <cell r="H42">
            <v>22979619</v>
          </cell>
        </row>
        <row r="43">
          <cell r="H43">
            <v>2254110</v>
          </cell>
        </row>
        <row r="44">
          <cell r="H44">
            <v>2183482</v>
          </cell>
        </row>
        <row r="46">
          <cell r="I46">
            <v>34877316</v>
          </cell>
        </row>
        <row r="49">
          <cell r="H49">
            <v>6564897</v>
          </cell>
        </row>
        <row r="50">
          <cell r="H50">
            <v>360221</v>
          </cell>
        </row>
        <row r="51">
          <cell r="H51">
            <v>4312281</v>
          </cell>
        </row>
        <row r="53">
          <cell r="I53">
            <v>17248864</v>
          </cell>
        </row>
        <row r="56">
          <cell r="H56">
            <v>3357168</v>
          </cell>
        </row>
        <row r="57">
          <cell r="H57">
            <v>6</v>
          </cell>
        </row>
        <row r="58">
          <cell r="H58">
            <v>24291655</v>
          </cell>
        </row>
        <row r="59">
          <cell r="H59">
            <v>211978</v>
          </cell>
        </row>
        <row r="61">
          <cell r="I61">
            <v>51244035</v>
          </cell>
        </row>
        <row r="63">
          <cell r="I63">
            <v>41606067</v>
          </cell>
        </row>
        <row r="65">
          <cell r="I65">
            <v>1734162</v>
          </cell>
        </row>
        <row r="67">
          <cell r="I67">
            <v>28390220</v>
          </cell>
        </row>
        <row r="73">
          <cell r="I73">
            <v>197127075</v>
          </cell>
        </row>
        <row r="77">
          <cell r="I77">
            <v>16576375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ep16loa"/>
    </sheetNames>
    <sheetDataSet>
      <sheetData sheetId="0">
        <row r="10">
          <cell r="H10">
            <v>9203283</v>
          </cell>
        </row>
        <row r="19">
          <cell r="H19">
            <v>507008</v>
          </cell>
        </row>
        <row r="23">
          <cell r="H23">
            <v>115495</v>
          </cell>
        </row>
        <row r="25">
          <cell r="I25">
            <v>712277</v>
          </cell>
        </row>
        <row r="30">
          <cell r="H30">
            <v>21862</v>
          </cell>
        </row>
        <row r="31">
          <cell r="H31">
            <v>8333787</v>
          </cell>
        </row>
        <row r="32">
          <cell r="H32">
            <v>7</v>
          </cell>
        </row>
        <row r="33">
          <cell r="H33">
            <v>644393</v>
          </cell>
        </row>
        <row r="34">
          <cell r="H34">
            <v>255581</v>
          </cell>
        </row>
        <row r="35">
          <cell r="H35">
            <v>560222</v>
          </cell>
        </row>
        <row r="36">
          <cell r="H36">
            <v>179281</v>
          </cell>
        </row>
        <row r="37">
          <cell r="H37">
            <v>238991</v>
          </cell>
        </row>
        <row r="38">
          <cell r="H38">
            <v>1640074</v>
          </cell>
        </row>
        <row r="39">
          <cell r="H39">
            <v>4759396</v>
          </cell>
        </row>
        <row r="42">
          <cell r="H42">
            <v>20955863</v>
          </cell>
        </row>
        <row r="43">
          <cell r="H43">
            <v>2247280</v>
          </cell>
        </row>
        <row r="44">
          <cell r="H44">
            <v>2155252</v>
          </cell>
        </row>
        <row r="46">
          <cell r="I46">
            <v>34952046</v>
          </cell>
        </row>
        <row r="49">
          <cell r="H49">
            <v>7065646</v>
          </cell>
        </row>
        <row r="50">
          <cell r="H50">
            <v>356554</v>
          </cell>
        </row>
        <row r="51">
          <cell r="H51">
            <v>3793697</v>
          </cell>
        </row>
        <row r="53">
          <cell r="I53">
            <v>17157172</v>
          </cell>
        </row>
        <row r="56">
          <cell r="H56">
            <v>3436656</v>
          </cell>
        </row>
        <row r="57">
          <cell r="H57">
            <v>6</v>
          </cell>
        </row>
        <row r="58">
          <cell r="H58">
            <v>24721564</v>
          </cell>
        </row>
        <row r="59">
          <cell r="H59">
            <v>205067</v>
          </cell>
        </row>
        <row r="61">
          <cell r="I61">
            <v>52102878</v>
          </cell>
        </row>
        <row r="63">
          <cell r="I63">
            <v>41624042</v>
          </cell>
        </row>
        <row r="65">
          <cell r="I65">
            <v>2166085</v>
          </cell>
        </row>
        <row r="67">
          <cell r="I67">
            <v>28397750</v>
          </cell>
        </row>
        <row r="73">
          <cell r="I73">
            <v>201723648</v>
          </cell>
        </row>
        <row r="77">
          <cell r="I77">
            <v>17783459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y10loa"/>
    </sheetNames>
    <sheetDataSet>
      <sheetData sheetId="0">
        <row r="10">
          <cell r="I10">
            <v>6534181</v>
          </cell>
        </row>
        <row r="19">
          <cell r="I19">
            <v>153452</v>
          </cell>
        </row>
        <row r="23">
          <cell r="I23">
            <v>632</v>
          </cell>
        </row>
        <row r="25">
          <cell r="J25">
            <v>378734</v>
          </cell>
        </row>
        <row r="30">
          <cell r="I30">
            <v>165779</v>
          </cell>
        </row>
        <row r="31">
          <cell r="I31">
            <v>2462205</v>
          </cell>
        </row>
        <row r="32">
          <cell r="I32">
            <v>0</v>
          </cell>
        </row>
        <row r="33">
          <cell r="I33">
            <v>125754</v>
          </cell>
        </row>
        <row r="34">
          <cell r="I34">
            <v>140862</v>
          </cell>
        </row>
        <row r="35">
          <cell r="I35">
            <v>466534</v>
          </cell>
        </row>
        <row r="36">
          <cell r="I36">
            <v>389468</v>
          </cell>
        </row>
        <row r="37">
          <cell r="I37">
            <v>1123342</v>
          </cell>
        </row>
        <row r="38">
          <cell r="I38">
            <v>838271</v>
          </cell>
        </row>
        <row r="39">
          <cell r="I39">
            <v>3044763</v>
          </cell>
        </row>
        <row r="42">
          <cell r="I42">
            <v>18977645</v>
          </cell>
        </row>
        <row r="43">
          <cell r="I43">
            <v>1055535</v>
          </cell>
        </row>
        <row r="44">
          <cell r="I44">
            <v>246868</v>
          </cell>
        </row>
        <row r="46">
          <cell r="J46">
            <v>982377</v>
          </cell>
        </row>
        <row r="49">
          <cell r="I49">
            <v>4630358</v>
          </cell>
        </row>
        <row r="50">
          <cell r="I50">
            <v>314180</v>
          </cell>
        </row>
        <row r="51">
          <cell r="I51">
            <v>4361699</v>
          </cell>
        </row>
        <row r="53">
          <cell r="J53">
            <v>5284090</v>
          </cell>
        </row>
        <row r="56">
          <cell r="I56">
            <v>12285081</v>
          </cell>
        </row>
        <row r="57">
          <cell r="I57">
            <v>462</v>
          </cell>
        </row>
        <row r="58">
          <cell r="I58">
            <v>16876992</v>
          </cell>
        </row>
        <row r="59">
          <cell r="I59">
            <v>4491414</v>
          </cell>
        </row>
        <row r="61">
          <cell r="J61">
            <v>27239557</v>
          </cell>
        </row>
        <row r="63">
          <cell r="J63">
            <v>33805004</v>
          </cell>
        </row>
        <row r="65">
          <cell r="J65">
            <v>487666</v>
          </cell>
        </row>
        <row r="67">
          <cell r="J67">
            <v>17225370</v>
          </cell>
        </row>
        <row r="73">
          <cell r="J73">
            <v>83574923</v>
          </cell>
        </row>
        <row r="77">
          <cell r="J77">
            <v>6925520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Oct16loa"/>
    </sheetNames>
    <sheetDataSet>
      <sheetData sheetId="0">
        <row r="10">
          <cell r="H10">
            <v>9103602</v>
          </cell>
        </row>
        <row r="19">
          <cell r="H19">
            <v>500814</v>
          </cell>
        </row>
        <row r="23">
          <cell r="H23">
            <v>109723</v>
          </cell>
        </row>
        <row r="25">
          <cell r="I25">
            <v>693392</v>
          </cell>
        </row>
        <row r="30">
          <cell r="H30">
            <v>20809</v>
          </cell>
        </row>
        <row r="31">
          <cell r="H31">
            <v>8322005</v>
          </cell>
        </row>
        <row r="32">
          <cell r="H32">
            <v>11</v>
          </cell>
        </row>
        <row r="33">
          <cell r="H33">
            <v>633007</v>
          </cell>
        </row>
        <row r="34">
          <cell r="H34">
            <v>262338</v>
          </cell>
        </row>
        <row r="35">
          <cell r="H35">
            <v>571198</v>
          </cell>
        </row>
        <row r="36">
          <cell r="H36">
            <v>184308</v>
          </cell>
        </row>
        <row r="37">
          <cell r="H37">
            <v>243121</v>
          </cell>
        </row>
        <row r="38">
          <cell r="H38">
            <v>1618417</v>
          </cell>
        </row>
        <row r="39">
          <cell r="H39">
            <v>3751757</v>
          </cell>
        </row>
        <row r="42">
          <cell r="H42">
            <v>21671628</v>
          </cell>
        </row>
        <row r="43">
          <cell r="H43">
            <v>2211969</v>
          </cell>
        </row>
        <row r="44">
          <cell r="H44">
            <v>2129461</v>
          </cell>
        </row>
        <row r="46">
          <cell r="I46">
            <v>34950405</v>
          </cell>
        </row>
        <row r="49">
          <cell r="H49">
            <v>6954617</v>
          </cell>
        </row>
        <row r="50">
          <cell r="H50">
            <v>349513</v>
          </cell>
        </row>
        <row r="51">
          <cell r="H51">
            <v>3307469</v>
          </cell>
        </row>
        <row r="53">
          <cell r="I53">
            <v>16667540</v>
          </cell>
        </row>
        <row r="56">
          <cell r="H56">
            <v>3151093</v>
          </cell>
        </row>
        <row r="57">
          <cell r="H57">
            <v>541</v>
          </cell>
        </row>
        <row r="58">
          <cell r="H58">
            <v>24747569</v>
          </cell>
        </row>
        <row r="59">
          <cell r="H59">
            <v>206007</v>
          </cell>
        </row>
        <row r="61">
          <cell r="I61">
            <v>54977759</v>
          </cell>
        </row>
        <row r="63">
          <cell r="I63">
            <v>43484517</v>
          </cell>
        </row>
        <row r="65">
          <cell r="I65">
            <v>2242390</v>
          </cell>
        </row>
        <row r="67">
          <cell r="I67">
            <v>28461377</v>
          </cell>
        </row>
        <row r="73">
          <cell r="I73">
            <v>203614018</v>
          </cell>
        </row>
        <row r="77">
          <cell r="I77">
            <v>17748955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Nov16loa"/>
    </sheetNames>
    <sheetDataSet>
      <sheetData sheetId="0">
        <row r="10">
          <cell r="H10">
            <v>9017985</v>
          </cell>
        </row>
        <row r="19">
          <cell r="H19">
            <v>488891</v>
          </cell>
        </row>
        <row r="23">
          <cell r="H23">
            <v>106887</v>
          </cell>
        </row>
        <row r="25">
          <cell r="I25">
            <v>689838</v>
          </cell>
        </row>
        <row r="30">
          <cell r="H30">
            <v>8394</v>
          </cell>
        </row>
        <row r="31">
          <cell r="H31">
            <v>8328057</v>
          </cell>
        </row>
        <row r="32">
          <cell r="H32">
            <v>23</v>
          </cell>
        </row>
        <row r="33">
          <cell r="H33">
            <v>613582</v>
          </cell>
        </row>
        <row r="34">
          <cell r="H34">
            <v>285476</v>
          </cell>
        </row>
        <row r="35">
          <cell r="H35">
            <v>561483</v>
          </cell>
        </row>
        <row r="36">
          <cell r="H36">
            <v>187921</v>
          </cell>
        </row>
        <row r="37">
          <cell r="H37">
            <v>226761</v>
          </cell>
        </row>
        <row r="38">
          <cell r="H38">
            <v>1592317</v>
          </cell>
        </row>
        <row r="39">
          <cell r="H39">
            <v>4721183</v>
          </cell>
        </row>
        <row r="42">
          <cell r="H42">
            <v>21614571</v>
          </cell>
        </row>
        <row r="43">
          <cell r="H43">
            <v>2241173</v>
          </cell>
        </row>
        <row r="44">
          <cell r="H44">
            <v>2130172</v>
          </cell>
        </row>
        <row r="46">
          <cell r="I46">
            <v>34985727</v>
          </cell>
        </row>
        <row r="49">
          <cell r="H49">
            <v>7063412</v>
          </cell>
        </row>
        <row r="50">
          <cell r="H50">
            <v>348999</v>
          </cell>
        </row>
        <row r="51">
          <cell r="H51">
            <v>3320824</v>
          </cell>
        </row>
        <row r="53">
          <cell r="I53">
            <v>16954056</v>
          </cell>
        </row>
        <row r="56">
          <cell r="H56">
            <v>3138354</v>
          </cell>
        </row>
        <row r="57">
          <cell r="H57">
            <v>6</v>
          </cell>
        </row>
        <row r="58">
          <cell r="H58">
            <v>23870526</v>
          </cell>
        </row>
        <row r="59">
          <cell r="H59">
            <v>205555</v>
          </cell>
        </row>
        <row r="61">
          <cell r="I61">
            <v>53696634</v>
          </cell>
        </row>
        <row r="63">
          <cell r="I63">
            <v>44129692</v>
          </cell>
        </row>
        <row r="65">
          <cell r="I65">
            <v>2261578</v>
          </cell>
        </row>
        <row r="67">
          <cell r="I67">
            <v>28537273</v>
          </cell>
        </row>
        <row r="73">
          <cell r="I73">
            <v>206995204</v>
          </cell>
        </row>
        <row r="77">
          <cell r="I77">
            <v>16997030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ec16loa"/>
    </sheetNames>
    <sheetDataSet>
      <sheetData sheetId="0">
        <row r="10">
          <cell r="H10">
            <v>8356407</v>
          </cell>
        </row>
        <row r="19">
          <cell r="H19">
            <v>490207</v>
          </cell>
        </row>
        <row r="23">
          <cell r="H23">
            <v>104051</v>
          </cell>
        </row>
        <row r="25">
          <cell r="I25">
            <v>765232</v>
          </cell>
        </row>
        <row r="30">
          <cell r="H30">
            <v>8403</v>
          </cell>
        </row>
        <row r="31">
          <cell r="H31">
            <v>9098375</v>
          </cell>
        </row>
        <row r="32">
          <cell r="H32">
            <v>0</v>
          </cell>
        </row>
        <row r="33">
          <cell r="H33">
            <v>908447</v>
          </cell>
        </row>
        <row r="34">
          <cell r="H34">
            <v>276156</v>
          </cell>
        </row>
        <row r="35">
          <cell r="H35">
            <v>558810</v>
          </cell>
        </row>
        <row r="36">
          <cell r="H36">
            <v>191344</v>
          </cell>
        </row>
        <row r="37">
          <cell r="H37">
            <v>263780</v>
          </cell>
        </row>
        <row r="38">
          <cell r="H38">
            <v>1566179</v>
          </cell>
        </row>
        <row r="39">
          <cell r="H39">
            <v>4744030</v>
          </cell>
        </row>
        <row r="42">
          <cell r="H42">
            <v>21269484</v>
          </cell>
        </row>
        <row r="43">
          <cell r="H43">
            <v>2066904</v>
          </cell>
        </row>
        <row r="44">
          <cell r="H44">
            <v>2110105</v>
          </cell>
        </row>
        <row r="46">
          <cell r="I46">
            <v>35389526</v>
          </cell>
        </row>
        <row r="49">
          <cell r="H49">
            <v>7370130</v>
          </cell>
        </row>
        <row r="50">
          <cell r="H50">
            <v>346446</v>
          </cell>
        </row>
        <row r="51">
          <cell r="H51">
            <v>3050814</v>
          </cell>
        </row>
        <row r="53">
          <cell r="I53">
            <v>17065369</v>
          </cell>
        </row>
        <row r="56">
          <cell r="H56">
            <v>3103426</v>
          </cell>
        </row>
        <row r="57">
          <cell r="H57">
            <v>3</v>
          </cell>
        </row>
        <row r="58">
          <cell r="H58">
            <v>20895337</v>
          </cell>
        </row>
        <row r="59">
          <cell r="H59">
            <v>196359</v>
          </cell>
        </row>
        <row r="61">
          <cell r="I61">
            <v>53327415</v>
          </cell>
        </row>
        <row r="63">
          <cell r="I63">
            <v>44203884</v>
          </cell>
        </row>
        <row r="65">
          <cell r="I65">
            <v>2241956</v>
          </cell>
        </row>
        <row r="67">
          <cell r="I67">
            <v>31070816</v>
          </cell>
        </row>
        <row r="73">
          <cell r="I73">
            <v>210609218</v>
          </cell>
        </row>
        <row r="77">
          <cell r="I77">
            <v>13739840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Jan17loa"/>
    </sheetNames>
    <sheetDataSet>
      <sheetData sheetId="0">
        <row r="10">
          <cell r="H10">
            <v>8070810</v>
          </cell>
        </row>
        <row r="19">
          <cell r="H19">
            <v>688857</v>
          </cell>
        </row>
        <row r="23">
          <cell r="H23">
            <v>101215</v>
          </cell>
        </row>
        <row r="25">
          <cell r="I25">
            <v>684999</v>
          </cell>
        </row>
        <row r="30">
          <cell r="H30">
            <v>86841</v>
          </cell>
        </row>
        <row r="31">
          <cell r="H31">
            <v>9321321</v>
          </cell>
        </row>
        <row r="32">
          <cell r="H32">
            <v>6</v>
          </cell>
        </row>
        <row r="33">
          <cell r="H33">
            <v>890286</v>
          </cell>
        </row>
        <row r="34">
          <cell r="H34">
            <v>290646</v>
          </cell>
        </row>
        <row r="35">
          <cell r="H35">
            <v>545638</v>
          </cell>
        </row>
        <row r="36">
          <cell r="H36">
            <v>195500</v>
          </cell>
        </row>
        <row r="37">
          <cell r="H37">
            <v>282484</v>
          </cell>
        </row>
        <row r="38">
          <cell r="H38">
            <v>1561015</v>
          </cell>
        </row>
        <row r="39">
          <cell r="H39">
            <v>4741722</v>
          </cell>
        </row>
        <row r="42">
          <cell r="H42">
            <v>20864268</v>
          </cell>
        </row>
        <row r="43">
          <cell r="H43">
            <v>1894353</v>
          </cell>
        </row>
        <row r="44">
          <cell r="H44">
            <v>2097501</v>
          </cell>
        </row>
        <row r="46">
          <cell r="I46">
            <v>33891805</v>
          </cell>
        </row>
        <row r="49">
          <cell r="H49">
            <v>7598826</v>
          </cell>
        </row>
        <row r="50">
          <cell r="H50">
            <v>344082</v>
          </cell>
        </row>
        <row r="51">
          <cell r="H51">
            <v>3082816</v>
          </cell>
        </row>
        <row r="53">
          <cell r="I53">
            <v>18250132</v>
          </cell>
        </row>
        <row r="56">
          <cell r="H56">
            <v>2855180</v>
          </cell>
        </row>
        <row r="57">
          <cell r="H57">
            <v>3</v>
          </cell>
        </row>
        <row r="58">
          <cell r="H58">
            <v>24281756</v>
          </cell>
        </row>
        <row r="59">
          <cell r="H59">
            <v>227669</v>
          </cell>
        </row>
        <row r="61">
          <cell r="I61">
            <v>53364826</v>
          </cell>
        </row>
        <row r="63">
          <cell r="I63">
            <v>44560417</v>
          </cell>
        </row>
        <row r="65">
          <cell r="I65">
            <v>2319359</v>
          </cell>
        </row>
        <row r="67">
          <cell r="I67">
            <v>30944765</v>
          </cell>
        </row>
        <row r="73">
          <cell r="I73">
            <v>211455209</v>
          </cell>
        </row>
        <row r="77">
          <cell r="I77">
            <v>13560723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Feb17loa"/>
    </sheetNames>
    <sheetDataSet>
      <sheetData sheetId="0">
        <row r="10">
          <cell r="I10">
            <v>7687502</v>
          </cell>
        </row>
        <row r="19">
          <cell r="I19">
            <v>1082093</v>
          </cell>
        </row>
        <row r="23">
          <cell r="I23">
            <v>101421</v>
          </cell>
        </row>
        <row r="25">
          <cell r="J25">
            <v>760259</v>
          </cell>
        </row>
        <row r="30">
          <cell r="I30">
            <v>13778</v>
          </cell>
        </row>
        <row r="31">
          <cell r="I31">
            <v>9378568</v>
          </cell>
        </row>
        <row r="32">
          <cell r="I32">
            <v>8</v>
          </cell>
        </row>
        <row r="33">
          <cell r="I33">
            <v>902377</v>
          </cell>
        </row>
        <row r="34">
          <cell r="I34">
            <v>296179</v>
          </cell>
        </row>
        <row r="35">
          <cell r="I35">
            <v>545095</v>
          </cell>
        </row>
        <row r="36">
          <cell r="I36">
            <v>171587</v>
          </cell>
        </row>
        <row r="37">
          <cell r="I37">
            <v>284176</v>
          </cell>
        </row>
        <row r="38">
          <cell r="I38">
            <v>1566389</v>
          </cell>
        </row>
        <row r="39">
          <cell r="I39">
            <v>9377350</v>
          </cell>
        </row>
        <row r="42">
          <cell r="I42">
            <v>22923328</v>
          </cell>
        </row>
        <row r="43">
          <cell r="I43">
            <v>1831967</v>
          </cell>
        </row>
        <row r="44">
          <cell r="I44">
            <v>2075669</v>
          </cell>
        </row>
        <row r="46">
          <cell r="J46">
            <v>33677602</v>
          </cell>
        </row>
        <row r="49">
          <cell r="I49">
            <v>7668840</v>
          </cell>
        </row>
        <row r="50">
          <cell r="I50">
            <v>350359</v>
          </cell>
        </row>
        <row r="51">
          <cell r="I51">
            <v>3081476</v>
          </cell>
        </row>
        <row r="53">
          <cell r="J53">
            <v>18063127</v>
          </cell>
        </row>
        <row r="56">
          <cell r="I56">
            <v>2806134</v>
          </cell>
        </row>
        <row r="57">
          <cell r="I57">
            <v>426</v>
          </cell>
        </row>
        <row r="58">
          <cell r="I58">
            <v>23221851</v>
          </cell>
        </row>
        <row r="59">
          <cell r="I59">
            <v>226806</v>
          </cell>
        </row>
        <row r="61">
          <cell r="J61">
            <v>52847170</v>
          </cell>
        </row>
        <row r="63">
          <cell r="J63">
            <v>44797770</v>
          </cell>
        </row>
        <row r="65">
          <cell r="J65">
            <v>2149112</v>
          </cell>
        </row>
        <row r="67">
          <cell r="J67">
            <v>32041304</v>
          </cell>
        </row>
        <row r="73">
          <cell r="J73">
            <v>263037457</v>
          </cell>
        </row>
        <row r="77">
          <cell r="J77">
            <v>27592533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K4">
            <v>3698117</v>
          </cell>
        </row>
        <row r="5">
          <cell r="K5">
            <v>0</v>
          </cell>
        </row>
        <row r="6">
          <cell r="K6">
            <v>220240</v>
          </cell>
        </row>
        <row r="7">
          <cell r="K7">
            <v>22083004</v>
          </cell>
        </row>
        <row r="8">
          <cell r="K8">
            <v>34106779</v>
          </cell>
        </row>
        <row r="9">
          <cell r="K9">
            <v>95544</v>
          </cell>
        </row>
        <row r="10">
          <cell r="K10">
            <v>138948</v>
          </cell>
        </row>
        <row r="11">
          <cell r="K11">
            <v>1284458</v>
          </cell>
        </row>
        <row r="12">
          <cell r="K12">
            <v>3</v>
          </cell>
        </row>
        <row r="13">
          <cell r="K13">
            <v>326927</v>
          </cell>
        </row>
        <row r="14">
          <cell r="K14">
            <v>74609</v>
          </cell>
        </row>
        <row r="15">
          <cell r="K15">
            <v>4976793</v>
          </cell>
        </row>
        <row r="16">
          <cell r="K16">
            <v>1605627</v>
          </cell>
        </row>
        <row r="17">
          <cell r="K17">
            <v>115533</v>
          </cell>
        </row>
        <row r="18">
          <cell r="K18">
            <v>362599</v>
          </cell>
        </row>
        <row r="19">
          <cell r="K19">
            <v>341072</v>
          </cell>
        </row>
        <row r="20">
          <cell r="K20">
            <v>1566176</v>
          </cell>
        </row>
        <row r="21">
          <cell r="K21">
            <v>9591891</v>
          </cell>
        </row>
        <row r="22">
          <cell r="K22">
            <v>553739</v>
          </cell>
        </row>
        <row r="23">
          <cell r="K23">
            <v>4676512</v>
          </cell>
        </row>
        <row r="24">
          <cell r="K24">
            <v>914472</v>
          </cell>
        </row>
        <row r="25">
          <cell r="K25">
            <v>8500</v>
          </cell>
        </row>
        <row r="26">
          <cell r="K26">
            <v>352536</v>
          </cell>
        </row>
        <row r="27">
          <cell r="K27">
            <v>4722730</v>
          </cell>
        </row>
        <row r="28">
          <cell r="K28">
            <v>385759</v>
          </cell>
        </row>
        <row r="29">
          <cell r="K29">
            <v>297</v>
          </cell>
        </row>
        <row r="30">
          <cell r="K30">
            <v>473514</v>
          </cell>
        </row>
        <row r="31">
          <cell r="K31">
            <v>1965475</v>
          </cell>
        </row>
        <row r="32">
          <cell r="K32">
            <v>22335279</v>
          </cell>
        </row>
        <row r="33">
          <cell r="K33">
            <v>2149342</v>
          </cell>
        </row>
        <row r="34">
          <cell r="K34">
            <v>2526262</v>
          </cell>
        </row>
        <row r="35">
          <cell r="K35">
            <v>336663</v>
          </cell>
        </row>
        <row r="36">
          <cell r="K36">
            <v>7581979</v>
          </cell>
        </row>
        <row r="37">
          <cell r="K37">
            <v>18262496</v>
          </cell>
        </row>
        <row r="38">
          <cell r="K38">
            <v>52173721</v>
          </cell>
        </row>
        <row r="39">
          <cell r="K39">
            <v>2171305</v>
          </cell>
        </row>
        <row r="40">
          <cell r="K40">
            <v>398144</v>
          </cell>
        </row>
        <row r="41">
          <cell r="K41">
            <v>15925463</v>
          </cell>
        </row>
        <row r="42">
          <cell r="K42">
            <v>8192936</v>
          </cell>
        </row>
        <row r="43">
          <cell r="K43">
            <v>8559388</v>
          </cell>
        </row>
        <row r="44">
          <cell r="K44">
            <v>265948462</v>
          </cell>
        </row>
        <row r="45">
          <cell r="K45">
            <v>45860626</v>
          </cell>
        </row>
      </sheetData>
      <sheetData sheetId="6">
        <row r="22">
          <cell r="C22">
            <v>28419655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K4">
            <v>2930494</v>
          </cell>
        </row>
        <row r="5">
          <cell r="K5">
            <v>0</v>
          </cell>
        </row>
        <row r="6">
          <cell r="K6">
            <v>266843</v>
          </cell>
        </row>
        <row r="7">
          <cell r="K7">
            <v>23004838</v>
          </cell>
        </row>
        <row r="8">
          <cell r="K8">
            <v>34107670</v>
          </cell>
        </row>
        <row r="9">
          <cell r="K9">
            <v>95707</v>
          </cell>
        </row>
        <row r="10">
          <cell r="K10">
            <v>137558</v>
          </cell>
        </row>
        <row r="11">
          <cell r="K11">
            <v>1289030</v>
          </cell>
        </row>
        <row r="12">
          <cell r="K12">
            <v>7</v>
          </cell>
        </row>
        <row r="13">
          <cell r="K13">
            <v>326772</v>
          </cell>
        </row>
        <row r="14">
          <cell r="K14">
            <v>74418</v>
          </cell>
        </row>
        <row r="15">
          <cell r="K15">
            <v>4954027</v>
          </cell>
        </row>
        <row r="16">
          <cell r="K16">
            <v>1348211</v>
          </cell>
        </row>
        <row r="17">
          <cell r="K17">
            <v>111366</v>
          </cell>
        </row>
        <row r="18">
          <cell r="K18">
            <v>360063</v>
          </cell>
        </row>
        <row r="19">
          <cell r="K19">
            <v>316909</v>
          </cell>
        </row>
        <row r="20">
          <cell r="K20">
            <v>1569989</v>
          </cell>
        </row>
        <row r="21">
          <cell r="K21">
            <v>9696078</v>
          </cell>
        </row>
        <row r="22">
          <cell r="K22">
            <v>570787</v>
          </cell>
        </row>
        <row r="23">
          <cell r="K23">
            <v>4696006</v>
          </cell>
        </row>
        <row r="24">
          <cell r="K24">
            <v>888357</v>
          </cell>
        </row>
        <row r="25">
          <cell r="K25">
            <v>11384</v>
          </cell>
        </row>
        <row r="26">
          <cell r="K26">
            <v>384917</v>
          </cell>
        </row>
        <row r="27">
          <cell r="K27">
            <v>4168221</v>
          </cell>
        </row>
        <row r="28">
          <cell r="K28">
            <v>385301</v>
          </cell>
        </row>
        <row r="29">
          <cell r="K29">
            <v>0</v>
          </cell>
        </row>
        <row r="30">
          <cell r="K30">
            <v>394654</v>
          </cell>
        </row>
        <row r="31">
          <cell r="K31">
            <v>1506379</v>
          </cell>
        </row>
        <row r="32">
          <cell r="K32">
            <v>24706379</v>
          </cell>
        </row>
        <row r="33">
          <cell r="K33">
            <v>2119367</v>
          </cell>
        </row>
        <row r="34">
          <cell r="K34">
            <v>2619269</v>
          </cell>
        </row>
        <row r="35">
          <cell r="K35">
            <v>334955</v>
          </cell>
        </row>
        <row r="36">
          <cell r="K36">
            <v>7600933</v>
          </cell>
        </row>
        <row r="37">
          <cell r="K37">
            <v>18138654</v>
          </cell>
        </row>
        <row r="38">
          <cell r="K38">
            <v>55194799</v>
          </cell>
        </row>
        <row r="39">
          <cell r="K39">
            <v>2172075</v>
          </cell>
        </row>
        <row r="40">
          <cell r="K40">
            <v>1204326</v>
          </cell>
        </row>
        <row r="41">
          <cell r="K41">
            <v>13972546</v>
          </cell>
        </row>
        <row r="42">
          <cell r="K42">
            <v>6864095</v>
          </cell>
        </row>
        <row r="43">
          <cell r="K43">
            <v>11986361</v>
          </cell>
        </row>
        <row r="44">
          <cell r="K44">
            <v>269070175</v>
          </cell>
        </row>
        <row r="45">
          <cell r="K45">
            <v>45075036</v>
          </cell>
        </row>
      </sheetData>
      <sheetData sheetId="6">
        <row r="22">
          <cell r="C22">
            <v>25065765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K4">
            <v>2884010</v>
          </cell>
        </row>
        <row r="5">
          <cell r="K5">
            <v>4</v>
          </cell>
        </row>
        <row r="6">
          <cell r="K6">
            <v>268858</v>
          </cell>
        </row>
        <row r="7">
          <cell r="K7">
            <v>21838941</v>
          </cell>
        </row>
        <row r="8">
          <cell r="K8">
            <v>34418605</v>
          </cell>
        </row>
        <row r="9">
          <cell r="K9">
            <v>89872</v>
          </cell>
        </row>
        <row r="10">
          <cell r="K10">
            <v>136136</v>
          </cell>
        </row>
        <row r="11">
          <cell r="K11">
            <v>1292273</v>
          </cell>
        </row>
        <row r="12">
          <cell r="K12">
            <v>4</v>
          </cell>
        </row>
        <row r="13">
          <cell r="K13">
            <v>329721</v>
          </cell>
        </row>
        <row r="14">
          <cell r="K14">
            <v>80814</v>
          </cell>
        </row>
        <row r="15">
          <cell r="K15">
            <v>4905381</v>
          </cell>
        </row>
        <row r="16">
          <cell r="K16">
            <v>1355801</v>
          </cell>
        </row>
        <row r="17">
          <cell r="K17">
            <v>188888</v>
          </cell>
        </row>
        <row r="18">
          <cell r="K18">
            <v>402384</v>
          </cell>
        </row>
        <row r="19">
          <cell r="K19">
            <v>319959</v>
          </cell>
        </row>
        <row r="20">
          <cell r="K20">
            <v>1546495</v>
          </cell>
        </row>
        <row r="21">
          <cell r="K21">
            <v>9163952</v>
          </cell>
        </row>
        <row r="22">
          <cell r="K22">
            <v>576097</v>
          </cell>
        </row>
        <row r="23">
          <cell r="K23">
            <v>4077115</v>
          </cell>
        </row>
        <row r="24">
          <cell r="K24">
            <v>886729</v>
          </cell>
        </row>
        <row r="25">
          <cell r="K25">
            <v>19378</v>
          </cell>
        </row>
        <row r="26">
          <cell r="K26">
            <v>394455</v>
          </cell>
        </row>
        <row r="27">
          <cell r="K27">
            <v>3872649</v>
          </cell>
        </row>
        <row r="28">
          <cell r="K28">
            <v>375535</v>
          </cell>
        </row>
        <row r="29">
          <cell r="K29">
            <v>97660</v>
          </cell>
        </row>
        <row r="30">
          <cell r="K30">
            <v>346442</v>
          </cell>
        </row>
        <row r="31">
          <cell r="K31">
            <v>1558668</v>
          </cell>
        </row>
        <row r="32">
          <cell r="K32">
            <v>24371777</v>
          </cell>
        </row>
        <row r="33">
          <cell r="K33">
            <v>2075089</v>
          </cell>
        </row>
        <row r="34">
          <cell r="K34">
            <v>1348735</v>
          </cell>
        </row>
        <row r="35">
          <cell r="K35">
            <v>285989</v>
          </cell>
        </row>
        <row r="36">
          <cell r="K36">
            <v>7379206</v>
          </cell>
        </row>
        <row r="37">
          <cell r="K37">
            <v>18108417</v>
          </cell>
        </row>
        <row r="38">
          <cell r="K38">
            <v>56001164</v>
          </cell>
        </row>
        <row r="39">
          <cell r="K39">
            <v>2270971</v>
          </cell>
        </row>
        <row r="40">
          <cell r="K40">
            <v>1219802</v>
          </cell>
        </row>
        <row r="41">
          <cell r="K41">
            <v>13452440</v>
          </cell>
        </row>
        <row r="42">
          <cell r="K42">
            <v>6697121</v>
          </cell>
        </row>
        <row r="43">
          <cell r="K43">
            <v>12969608</v>
          </cell>
        </row>
        <row r="44">
          <cell r="K44">
            <v>271894049</v>
          </cell>
        </row>
        <row r="45">
          <cell r="K45">
            <v>48024204</v>
          </cell>
        </row>
      </sheetData>
      <sheetData sheetId="6">
        <row r="22">
          <cell r="C22">
            <v>24938780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K4">
            <v>2885278</v>
          </cell>
        </row>
        <row r="5">
          <cell r="K5">
            <v>8</v>
          </cell>
        </row>
        <row r="6">
          <cell r="K6">
            <v>237882</v>
          </cell>
        </row>
        <row r="7">
          <cell r="K7">
            <v>21433396</v>
          </cell>
        </row>
        <row r="8">
          <cell r="K8">
            <v>33915553</v>
          </cell>
        </row>
        <row r="9">
          <cell r="K9">
            <v>87036</v>
          </cell>
        </row>
        <row r="10">
          <cell r="K10">
            <v>134768</v>
          </cell>
        </row>
        <row r="11">
          <cell r="K11">
            <v>1275288</v>
          </cell>
        </row>
        <row r="12">
          <cell r="K12">
            <v>3</v>
          </cell>
        </row>
        <row r="13">
          <cell r="K13">
            <v>326104</v>
          </cell>
        </row>
        <row r="14">
          <cell r="K14">
            <v>59120</v>
          </cell>
        </row>
        <row r="15">
          <cell r="K15">
            <v>4747602</v>
          </cell>
        </row>
        <row r="16">
          <cell r="K16">
            <v>1323351</v>
          </cell>
        </row>
        <row r="17">
          <cell r="K17">
            <v>183015</v>
          </cell>
        </row>
        <row r="18">
          <cell r="K18">
            <v>348390</v>
          </cell>
        </row>
        <row r="19">
          <cell r="K19">
            <v>295553</v>
          </cell>
        </row>
        <row r="20">
          <cell r="K20">
            <v>1575524</v>
          </cell>
        </row>
        <row r="21">
          <cell r="K21">
            <v>8997544</v>
          </cell>
        </row>
        <row r="22">
          <cell r="K22">
            <v>563391</v>
          </cell>
        </row>
        <row r="23">
          <cell r="K23">
            <v>4032381</v>
          </cell>
        </row>
        <row r="24">
          <cell r="K24">
            <v>871397</v>
          </cell>
        </row>
        <row r="25">
          <cell r="K25">
            <v>44014</v>
          </cell>
        </row>
        <row r="26">
          <cell r="K26">
            <v>391497</v>
          </cell>
        </row>
        <row r="27">
          <cell r="K27">
            <v>3889887</v>
          </cell>
        </row>
        <row r="28">
          <cell r="K28">
            <v>345028</v>
          </cell>
        </row>
        <row r="29">
          <cell r="K29">
            <v>0</v>
          </cell>
        </row>
        <row r="30">
          <cell r="K30">
            <v>418147</v>
          </cell>
        </row>
        <row r="31">
          <cell r="K31">
            <v>1595054</v>
          </cell>
        </row>
        <row r="32">
          <cell r="K32">
            <v>24220545</v>
          </cell>
        </row>
        <row r="33">
          <cell r="K33">
            <v>2078322</v>
          </cell>
        </row>
        <row r="34">
          <cell r="K34">
            <v>1324141</v>
          </cell>
        </row>
        <row r="35">
          <cell r="K35">
            <v>248746</v>
          </cell>
        </row>
        <row r="36">
          <cell r="K36">
            <v>7265102</v>
          </cell>
        </row>
        <row r="37">
          <cell r="K37">
            <v>19293232</v>
          </cell>
        </row>
        <row r="38">
          <cell r="K38">
            <v>56874230</v>
          </cell>
        </row>
        <row r="39">
          <cell r="K39">
            <v>2301471</v>
          </cell>
        </row>
        <row r="40">
          <cell r="K40">
            <v>1173605</v>
          </cell>
        </row>
        <row r="41">
          <cell r="K41">
            <v>13637562</v>
          </cell>
        </row>
        <row r="42">
          <cell r="K42">
            <v>7263849</v>
          </cell>
        </row>
        <row r="43">
          <cell r="K43">
            <v>12371588</v>
          </cell>
        </row>
        <row r="44">
          <cell r="K44">
            <v>272606446</v>
          </cell>
        </row>
        <row r="45">
          <cell r="K45">
            <v>45979699</v>
          </cell>
        </row>
      </sheetData>
      <sheetData sheetId="6">
        <row r="22">
          <cell r="C22">
            <v>24807823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K4">
            <v>2776557</v>
          </cell>
        </row>
        <row r="5">
          <cell r="K5">
            <v>20</v>
          </cell>
        </row>
        <row r="6">
          <cell r="K6">
            <v>247780</v>
          </cell>
        </row>
        <row r="7">
          <cell r="K7">
            <v>21260475</v>
          </cell>
        </row>
        <row r="8">
          <cell r="K8">
            <v>34162691</v>
          </cell>
        </row>
        <row r="9">
          <cell r="K9">
            <v>84200</v>
          </cell>
        </row>
        <row r="10">
          <cell r="K10">
            <v>133049</v>
          </cell>
        </row>
        <row r="11">
          <cell r="K11">
            <v>1271831</v>
          </cell>
        </row>
        <row r="12">
          <cell r="K12">
            <v>7</v>
          </cell>
        </row>
        <row r="13">
          <cell r="K13">
            <v>324420</v>
          </cell>
        </row>
        <row r="14">
          <cell r="K14">
            <v>35373</v>
          </cell>
        </row>
        <row r="15">
          <cell r="K15">
            <v>4794257</v>
          </cell>
        </row>
        <row r="16">
          <cell r="K16">
            <v>1314459</v>
          </cell>
        </row>
        <row r="17">
          <cell r="K17">
            <v>186985</v>
          </cell>
        </row>
        <row r="18">
          <cell r="K18">
            <v>354653</v>
          </cell>
        </row>
        <row r="19">
          <cell r="K19">
            <v>563833</v>
          </cell>
        </row>
        <row r="20">
          <cell r="K20">
            <v>1571688</v>
          </cell>
        </row>
        <row r="21">
          <cell r="K21">
            <v>9004145</v>
          </cell>
        </row>
        <row r="22">
          <cell r="K22">
            <v>436795</v>
          </cell>
        </row>
        <row r="23">
          <cell r="K23">
            <v>4032500</v>
          </cell>
        </row>
        <row r="24">
          <cell r="K24">
            <v>892356</v>
          </cell>
        </row>
        <row r="25">
          <cell r="K25">
            <v>14599</v>
          </cell>
        </row>
        <row r="26">
          <cell r="K26">
            <v>396151</v>
          </cell>
        </row>
        <row r="27">
          <cell r="K27">
            <v>4126477</v>
          </cell>
        </row>
        <row r="28">
          <cell r="K28">
            <v>331894</v>
          </cell>
        </row>
        <row r="29">
          <cell r="K29">
            <v>0</v>
          </cell>
        </row>
        <row r="30">
          <cell r="K30">
            <v>409561</v>
          </cell>
        </row>
        <row r="31">
          <cell r="K31">
            <v>1669081</v>
          </cell>
        </row>
        <row r="32">
          <cell r="K32">
            <v>24493544</v>
          </cell>
        </row>
        <row r="33">
          <cell r="K33">
            <v>2022277</v>
          </cell>
        </row>
        <row r="34">
          <cell r="K34">
            <v>1323126</v>
          </cell>
        </row>
        <row r="35">
          <cell r="K35">
            <v>237792</v>
          </cell>
        </row>
        <row r="36">
          <cell r="K36">
            <v>7519301</v>
          </cell>
        </row>
        <row r="37">
          <cell r="K37">
            <v>19752879</v>
          </cell>
        </row>
        <row r="38">
          <cell r="K38">
            <v>57161580</v>
          </cell>
        </row>
        <row r="39">
          <cell r="K39">
            <v>2327993</v>
          </cell>
        </row>
        <row r="40">
          <cell r="K40">
            <v>1204281</v>
          </cell>
        </row>
        <row r="41">
          <cell r="K41">
            <v>13725455</v>
          </cell>
        </row>
        <row r="42">
          <cell r="K42">
            <v>7522681</v>
          </cell>
        </row>
        <row r="43">
          <cell r="K43">
            <v>12293905</v>
          </cell>
        </row>
        <row r="44">
          <cell r="K44">
            <v>274755554</v>
          </cell>
        </row>
        <row r="45">
          <cell r="K45">
            <v>45188997</v>
          </cell>
        </row>
      </sheetData>
      <sheetData sheetId="6">
        <row r="22">
          <cell r="C22">
            <v>24084154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n10loa"/>
    </sheetNames>
    <sheetDataSet>
      <sheetData sheetId="0">
        <row r="10">
          <cell r="I10">
            <v>4583093</v>
          </cell>
        </row>
        <row r="19">
          <cell r="I19">
            <v>152145</v>
          </cell>
        </row>
        <row r="23">
          <cell r="I23">
            <v>398</v>
          </cell>
        </row>
        <row r="25">
          <cell r="J25">
            <v>387732</v>
          </cell>
        </row>
        <row r="30">
          <cell r="I30">
            <v>123257</v>
          </cell>
        </row>
        <row r="31">
          <cell r="I31">
            <v>2378887</v>
          </cell>
        </row>
        <row r="32">
          <cell r="I32">
            <v>0</v>
          </cell>
        </row>
        <row r="33">
          <cell r="I33">
            <v>131215</v>
          </cell>
        </row>
        <row r="34">
          <cell r="I34">
            <v>153741</v>
          </cell>
        </row>
        <row r="35">
          <cell r="I35">
            <v>458779</v>
          </cell>
        </row>
        <row r="36">
          <cell r="I36">
            <v>402703</v>
          </cell>
        </row>
        <row r="37">
          <cell r="I37">
            <v>1141343</v>
          </cell>
        </row>
        <row r="38">
          <cell r="I38">
            <v>832781</v>
          </cell>
        </row>
        <row r="39">
          <cell r="I39">
            <v>2757930</v>
          </cell>
        </row>
        <row r="42">
          <cell r="I42">
            <v>19273577</v>
          </cell>
        </row>
        <row r="43">
          <cell r="I43">
            <v>507800</v>
          </cell>
        </row>
        <row r="44">
          <cell r="I44">
            <v>241808</v>
          </cell>
        </row>
        <row r="46">
          <cell r="J46">
            <v>852037</v>
          </cell>
        </row>
        <row r="49">
          <cell r="I49">
            <v>4487659</v>
          </cell>
        </row>
        <row r="50">
          <cell r="I50">
            <v>311966</v>
          </cell>
        </row>
        <row r="51">
          <cell r="I51">
            <v>4234599</v>
          </cell>
        </row>
        <row r="53">
          <cell r="J53">
            <v>5735227</v>
          </cell>
        </row>
        <row r="56">
          <cell r="I56">
            <v>12094481</v>
          </cell>
        </row>
        <row r="57">
          <cell r="I57">
            <v>323</v>
          </cell>
        </row>
        <row r="58">
          <cell r="I58">
            <v>14611603</v>
          </cell>
        </row>
        <row r="59">
          <cell r="I59">
            <v>4465755</v>
          </cell>
        </row>
        <row r="61">
          <cell r="J61">
            <v>28855568</v>
          </cell>
        </row>
        <row r="63">
          <cell r="J63">
            <v>32086221</v>
          </cell>
        </row>
        <row r="65">
          <cell r="J65">
            <v>472595</v>
          </cell>
        </row>
        <row r="67">
          <cell r="J67">
            <v>17563345</v>
          </cell>
        </row>
        <row r="73">
          <cell r="J73">
            <v>84070288</v>
          </cell>
        </row>
        <row r="77">
          <cell r="J77">
            <v>6486781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2514590</v>
          </cell>
        </row>
        <row r="5">
          <cell r="L5">
            <v>2398</v>
          </cell>
        </row>
        <row r="6">
          <cell r="L6">
            <v>247099</v>
          </cell>
        </row>
        <row r="7">
          <cell r="L7">
            <v>22555427</v>
          </cell>
        </row>
        <row r="8">
          <cell r="L8">
            <v>35684299</v>
          </cell>
        </row>
        <row r="9">
          <cell r="L9">
            <v>81364</v>
          </cell>
        </row>
        <row r="10">
          <cell r="L10">
            <v>122372</v>
          </cell>
        </row>
        <row r="11">
          <cell r="L11">
            <v>1278814</v>
          </cell>
        </row>
        <row r="12">
          <cell r="L12">
            <v>1</v>
          </cell>
        </row>
        <row r="13">
          <cell r="L13">
            <v>327752</v>
          </cell>
        </row>
        <row r="14">
          <cell r="L14">
            <v>45154</v>
          </cell>
        </row>
        <row r="15">
          <cell r="L15">
            <v>4747884</v>
          </cell>
        </row>
        <row r="16">
          <cell r="L16">
            <v>1322815</v>
          </cell>
        </row>
        <row r="17">
          <cell r="L17">
            <v>411590</v>
          </cell>
        </row>
        <row r="18">
          <cell r="L18">
            <v>340823</v>
          </cell>
        </row>
        <row r="19">
          <cell r="L19">
            <v>614116</v>
          </cell>
        </row>
        <row r="20">
          <cell r="L20">
            <v>1549236</v>
          </cell>
        </row>
        <row r="21">
          <cell r="L21">
            <v>8867878</v>
          </cell>
        </row>
        <row r="22">
          <cell r="L22">
            <v>425334</v>
          </cell>
        </row>
        <row r="23">
          <cell r="L23">
            <v>4083228</v>
          </cell>
        </row>
        <row r="24">
          <cell r="L24">
            <v>850298</v>
          </cell>
        </row>
        <row r="25">
          <cell r="L25">
            <v>6965</v>
          </cell>
        </row>
        <row r="26">
          <cell r="L26">
            <v>389923</v>
          </cell>
        </row>
        <row r="27">
          <cell r="L27">
            <v>5205079</v>
          </cell>
        </row>
        <row r="28">
          <cell r="L28">
            <v>324302</v>
          </cell>
        </row>
        <row r="29">
          <cell r="L29">
            <v>0</v>
          </cell>
        </row>
        <row r="30">
          <cell r="L30">
            <v>628923</v>
          </cell>
        </row>
        <row r="31">
          <cell r="L31">
            <v>1739960</v>
          </cell>
        </row>
        <row r="32">
          <cell r="L32">
            <v>25592242</v>
          </cell>
        </row>
        <row r="33">
          <cell r="L33">
            <v>2040875</v>
          </cell>
        </row>
        <row r="34">
          <cell r="L34">
            <v>1774700</v>
          </cell>
        </row>
        <row r="35">
          <cell r="L35">
            <v>233609</v>
          </cell>
        </row>
        <row r="36">
          <cell r="L36">
            <v>7210661</v>
          </cell>
        </row>
        <row r="37">
          <cell r="L37">
            <v>20011366</v>
          </cell>
        </row>
        <row r="38">
          <cell r="L38">
            <v>60545848</v>
          </cell>
        </row>
        <row r="39">
          <cell r="L39">
            <v>2382086</v>
          </cell>
        </row>
        <row r="40">
          <cell r="L40">
            <v>394088</v>
          </cell>
        </row>
        <row r="41">
          <cell r="L41">
            <v>15169552</v>
          </cell>
        </row>
        <row r="42">
          <cell r="L42">
            <v>9023329</v>
          </cell>
        </row>
        <row r="43">
          <cell r="L43">
            <v>12132311</v>
          </cell>
        </row>
        <row r="44">
          <cell r="L44">
            <v>289106350</v>
          </cell>
        </row>
        <row r="45">
          <cell r="L45">
            <v>50204506</v>
          </cell>
        </row>
      </sheetData>
      <sheetData sheetId="6">
        <row r="22">
          <cell r="C22">
            <v>23435392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2458869</v>
          </cell>
        </row>
        <row r="5">
          <cell r="L5">
            <v>2401</v>
          </cell>
        </row>
        <row r="6">
          <cell r="L6">
            <v>248778</v>
          </cell>
        </row>
        <row r="7">
          <cell r="L7">
            <v>21503749</v>
          </cell>
        </row>
        <row r="8">
          <cell r="L8">
            <v>35944400</v>
          </cell>
        </row>
        <row r="9">
          <cell r="L9">
            <v>81419</v>
          </cell>
        </row>
        <row r="10">
          <cell r="L10">
            <v>119834</v>
          </cell>
        </row>
        <row r="11">
          <cell r="L11">
            <v>1525569</v>
          </cell>
        </row>
        <row r="12">
          <cell r="L12">
            <v>0</v>
          </cell>
        </row>
        <row r="13">
          <cell r="L13">
            <v>328452</v>
          </cell>
        </row>
        <row r="14">
          <cell r="L14">
            <v>46858</v>
          </cell>
        </row>
        <row r="15">
          <cell r="L15">
            <v>4755672</v>
          </cell>
        </row>
        <row r="16">
          <cell r="L16">
            <v>1315251</v>
          </cell>
        </row>
        <row r="17">
          <cell r="L17">
            <v>410508</v>
          </cell>
        </row>
        <row r="18">
          <cell r="L18">
            <v>338432</v>
          </cell>
        </row>
        <row r="19">
          <cell r="L19">
            <v>652988</v>
          </cell>
        </row>
        <row r="20">
          <cell r="L20">
            <v>1604715</v>
          </cell>
        </row>
        <row r="21">
          <cell r="L21">
            <v>9086388</v>
          </cell>
        </row>
        <row r="22">
          <cell r="L22">
            <v>539329</v>
          </cell>
        </row>
        <row r="23">
          <cell r="L23">
            <v>4104205</v>
          </cell>
        </row>
        <row r="24">
          <cell r="L24">
            <v>832812</v>
          </cell>
        </row>
        <row r="25">
          <cell r="L25">
            <v>7948</v>
          </cell>
        </row>
        <row r="26">
          <cell r="L26">
            <v>387918</v>
          </cell>
        </row>
        <row r="27">
          <cell r="L27">
            <v>5473789</v>
          </cell>
        </row>
        <row r="28">
          <cell r="L28">
            <v>318033</v>
          </cell>
        </row>
        <row r="29">
          <cell r="L29">
            <v>0</v>
          </cell>
        </row>
        <row r="30">
          <cell r="L30">
            <v>659275</v>
          </cell>
        </row>
        <row r="31">
          <cell r="L31">
            <v>1728603</v>
          </cell>
        </row>
        <row r="32">
          <cell r="L32">
            <v>24978969</v>
          </cell>
        </row>
        <row r="33">
          <cell r="L33">
            <v>2043879</v>
          </cell>
        </row>
        <row r="34">
          <cell r="L34">
            <v>2168356</v>
          </cell>
        </row>
        <row r="35">
          <cell r="L35">
            <v>249108</v>
          </cell>
        </row>
        <row r="36">
          <cell r="L36">
            <v>7968121</v>
          </cell>
        </row>
        <row r="37">
          <cell r="L37">
            <v>19566339</v>
          </cell>
        </row>
        <row r="38">
          <cell r="L38">
            <v>60890200</v>
          </cell>
        </row>
        <row r="39">
          <cell r="L39">
            <v>2598048</v>
          </cell>
        </row>
        <row r="40">
          <cell r="L40">
            <v>395250</v>
          </cell>
        </row>
        <row r="41">
          <cell r="L41">
            <v>15294191</v>
          </cell>
        </row>
        <row r="42">
          <cell r="L42">
            <v>9195756</v>
          </cell>
        </row>
        <row r="43">
          <cell r="L43">
            <v>12418892</v>
          </cell>
        </row>
        <row r="44">
          <cell r="L44">
            <v>293808226</v>
          </cell>
        </row>
        <row r="45">
          <cell r="L45">
            <v>50831563</v>
          </cell>
        </row>
      </sheetData>
      <sheetData sheetId="6">
        <row r="22">
          <cell r="C22">
            <v>23566169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2518811</v>
          </cell>
        </row>
        <row r="5">
          <cell r="L5">
            <v>2414</v>
          </cell>
        </row>
        <row r="6">
          <cell r="L6">
            <v>231729</v>
          </cell>
        </row>
        <row r="7">
          <cell r="L7">
            <v>20401292</v>
          </cell>
        </row>
        <row r="8">
          <cell r="L8">
            <v>35298824</v>
          </cell>
        </row>
        <row r="9">
          <cell r="L9">
            <v>75692</v>
          </cell>
        </row>
        <row r="10">
          <cell r="L10">
            <v>118560</v>
          </cell>
        </row>
        <row r="11">
          <cell r="L11">
            <v>1512757</v>
          </cell>
        </row>
        <row r="12">
          <cell r="L12">
            <v>0</v>
          </cell>
        </row>
        <row r="13">
          <cell r="L13">
            <v>322425</v>
          </cell>
        </row>
        <row r="14">
          <cell r="L14">
            <v>51661</v>
          </cell>
        </row>
        <row r="15">
          <cell r="L15">
            <v>4636233</v>
          </cell>
        </row>
        <row r="16">
          <cell r="L16">
            <v>1291142</v>
          </cell>
        </row>
        <row r="17">
          <cell r="L17">
            <v>410350</v>
          </cell>
        </row>
        <row r="18">
          <cell r="L18">
            <v>329424</v>
          </cell>
        </row>
        <row r="19">
          <cell r="L19">
            <v>621281</v>
          </cell>
        </row>
        <row r="20">
          <cell r="L20">
            <v>1532461</v>
          </cell>
        </row>
        <row r="21">
          <cell r="L21">
            <v>8990674</v>
          </cell>
        </row>
        <row r="22">
          <cell r="L22">
            <v>555240</v>
          </cell>
        </row>
        <row r="23">
          <cell r="L23">
            <v>4025363</v>
          </cell>
        </row>
        <row r="24">
          <cell r="L24">
            <v>803701</v>
          </cell>
        </row>
        <row r="25">
          <cell r="L25">
            <v>7007</v>
          </cell>
        </row>
        <row r="26">
          <cell r="L26">
            <v>392950</v>
          </cell>
        </row>
        <row r="27">
          <cell r="L27">
            <v>5247961</v>
          </cell>
        </row>
        <row r="28">
          <cell r="L28">
            <v>308013</v>
          </cell>
        </row>
        <row r="29">
          <cell r="L29">
            <v>0</v>
          </cell>
        </row>
        <row r="30">
          <cell r="L30">
            <v>683641</v>
          </cell>
        </row>
        <row r="31">
          <cell r="L31">
            <v>2595525</v>
          </cell>
        </row>
        <row r="32">
          <cell r="L32">
            <v>23950803</v>
          </cell>
        </row>
        <row r="33">
          <cell r="L33">
            <v>2010009</v>
          </cell>
        </row>
        <row r="34">
          <cell r="L34">
            <v>2097884</v>
          </cell>
        </row>
        <row r="35">
          <cell r="L35">
            <v>270078</v>
          </cell>
        </row>
        <row r="36">
          <cell r="L36">
            <v>7791407</v>
          </cell>
        </row>
        <row r="37">
          <cell r="L37">
            <v>19694661</v>
          </cell>
        </row>
        <row r="38">
          <cell r="L38">
            <v>60251516</v>
          </cell>
        </row>
        <row r="39">
          <cell r="L39">
            <v>2580150</v>
          </cell>
        </row>
        <row r="40">
          <cell r="L40">
            <v>391920</v>
          </cell>
        </row>
        <row r="41">
          <cell r="L41">
            <v>15361207</v>
          </cell>
        </row>
        <row r="42">
          <cell r="L42">
            <v>9047398</v>
          </cell>
        </row>
        <row r="43">
          <cell r="L43">
            <v>12047428</v>
          </cell>
        </row>
        <row r="44">
          <cell r="L44">
            <v>296573957</v>
          </cell>
        </row>
        <row r="45">
          <cell r="L45">
            <v>51264952</v>
          </cell>
        </row>
      </sheetData>
      <sheetData sheetId="6">
        <row r="22">
          <cell r="C22">
            <v>24123976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2565887</v>
          </cell>
        </row>
        <row r="5">
          <cell r="L5">
            <v>1425</v>
          </cell>
        </row>
        <row r="6">
          <cell r="L6">
            <v>227521</v>
          </cell>
        </row>
        <row r="7">
          <cell r="L7">
            <v>21565982</v>
          </cell>
        </row>
        <row r="8">
          <cell r="L8">
            <v>35615235</v>
          </cell>
        </row>
        <row r="9">
          <cell r="L9">
            <v>75707</v>
          </cell>
        </row>
        <row r="10">
          <cell r="L10">
            <v>117080</v>
          </cell>
        </row>
        <row r="11">
          <cell r="L11">
            <v>1508226</v>
          </cell>
        </row>
        <row r="12">
          <cell r="L12">
            <v>0</v>
          </cell>
        </row>
        <row r="13">
          <cell r="L13">
            <v>318148</v>
          </cell>
        </row>
        <row r="14">
          <cell r="L14">
            <v>49321</v>
          </cell>
        </row>
        <row r="15">
          <cell r="L15">
            <v>4612294</v>
          </cell>
        </row>
        <row r="16">
          <cell r="L16">
            <v>1283201</v>
          </cell>
        </row>
        <row r="17">
          <cell r="L17">
            <v>396292</v>
          </cell>
        </row>
        <row r="18">
          <cell r="L18">
            <v>329090</v>
          </cell>
        </row>
        <row r="19">
          <cell r="L19">
            <v>568423</v>
          </cell>
        </row>
        <row r="20">
          <cell r="L20">
            <v>1602055</v>
          </cell>
        </row>
        <row r="21">
          <cell r="L21">
            <v>9094599</v>
          </cell>
        </row>
        <row r="22">
          <cell r="L22">
            <v>517731</v>
          </cell>
        </row>
        <row r="23">
          <cell r="L23">
            <v>3970845</v>
          </cell>
        </row>
        <row r="24">
          <cell r="L24">
            <v>751973</v>
          </cell>
        </row>
        <row r="25">
          <cell r="L25">
            <v>4074</v>
          </cell>
        </row>
        <row r="26">
          <cell r="L26">
            <v>405078</v>
          </cell>
        </row>
        <row r="27">
          <cell r="L27">
            <v>5541136</v>
          </cell>
        </row>
        <row r="28">
          <cell r="L28">
            <v>297400</v>
          </cell>
        </row>
        <row r="29">
          <cell r="L29">
            <v>0</v>
          </cell>
        </row>
        <row r="30">
          <cell r="L30">
            <v>688682</v>
          </cell>
        </row>
        <row r="31">
          <cell r="L31">
            <v>2435123</v>
          </cell>
        </row>
        <row r="32">
          <cell r="L32">
            <v>23775495</v>
          </cell>
        </row>
        <row r="33">
          <cell r="L33">
            <v>1966164</v>
          </cell>
        </row>
        <row r="34">
          <cell r="L34">
            <v>2105588</v>
          </cell>
        </row>
        <row r="35">
          <cell r="L35">
            <v>232117</v>
          </cell>
        </row>
        <row r="36">
          <cell r="L36">
            <v>7762137</v>
          </cell>
        </row>
        <row r="37">
          <cell r="L37">
            <v>19800898</v>
          </cell>
        </row>
        <row r="38">
          <cell r="L38">
            <v>61987633</v>
          </cell>
        </row>
        <row r="39">
          <cell r="L39">
            <v>2534282</v>
          </cell>
        </row>
        <row r="40">
          <cell r="L40">
            <v>314530</v>
          </cell>
        </row>
        <row r="41">
          <cell r="L41">
            <v>15601827</v>
          </cell>
        </row>
        <row r="42">
          <cell r="L42">
            <v>9187764</v>
          </cell>
        </row>
        <row r="43">
          <cell r="L43">
            <v>13021317</v>
          </cell>
        </row>
        <row r="44">
          <cell r="L44">
            <v>301171105</v>
          </cell>
        </row>
        <row r="45">
          <cell r="L45">
            <v>50859308</v>
          </cell>
        </row>
      </sheetData>
      <sheetData sheetId="6">
        <row r="22">
          <cell r="C22">
            <v>25176566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2917150</v>
          </cell>
        </row>
        <row r="5">
          <cell r="L5">
            <v>552</v>
          </cell>
        </row>
        <row r="6">
          <cell r="L6">
            <v>228719</v>
          </cell>
        </row>
        <row r="7">
          <cell r="L7">
            <v>20490500</v>
          </cell>
        </row>
        <row r="8">
          <cell r="L8">
            <v>8101186</v>
          </cell>
        </row>
        <row r="9">
          <cell r="L9">
            <v>72808</v>
          </cell>
        </row>
        <row r="10">
          <cell r="L10">
            <v>115822</v>
          </cell>
        </row>
        <row r="11">
          <cell r="L11">
            <v>878954</v>
          </cell>
        </row>
        <row r="12">
          <cell r="L12">
            <v>0</v>
          </cell>
        </row>
        <row r="13">
          <cell r="L13">
            <v>315941</v>
          </cell>
        </row>
        <row r="14">
          <cell r="L14">
            <v>55448</v>
          </cell>
        </row>
        <row r="15">
          <cell r="L15">
            <v>4530288</v>
          </cell>
        </row>
        <row r="16">
          <cell r="L16">
            <v>1281762</v>
          </cell>
        </row>
        <row r="17">
          <cell r="L17">
            <v>384524</v>
          </cell>
        </row>
        <row r="18">
          <cell r="L18">
            <v>342504</v>
          </cell>
        </row>
        <row r="19">
          <cell r="L19">
            <v>629395</v>
          </cell>
        </row>
        <row r="20">
          <cell r="L20">
            <v>1568847</v>
          </cell>
        </row>
        <row r="21">
          <cell r="L21">
            <v>9252519</v>
          </cell>
        </row>
        <row r="22">
          <cell r="L22">
            <v>509876</v>
          </cell>
        </row>
        <row r="23">
          <cell r="L23">
            <v>3943761</v>
          </cell>
        </row>
        <row r="24">
          <cell r="L24">
            <v>753351</v>
          </cell>
        </row>
        <row r="25">
          <cell r="L25">
            <v>3901</v>
          </cell>
        </row>
        <row r="26">
          <cell r="L26">
            <v>389770</v>
          </cell>
        </row>
        <row r="27">
          <cell r="L27">
            <v>5336417</v>
          </cell>
        </row>
        <row r="28">
          <cell r="L28">
            <v>293516</v>
          </cell>
        </row>
        <row r="29">
          <cell r="L29">
            <v>0</v>
          </cell>
        </row>
        <row r="30">
          <cell r="L30">
            <v>682979</v>
          </cell>
        </row>
        <row r="31">
          <cell r="L31">
            <v>2287806</v>
          </cell>
        </row>
        <row r="32">
          <cell r="L32">
            <v>24415624</v>
          </cell>
        </row>
        <row r="33">
          <cell r="L33">
            <v>1897844</v>
          </cell>
        </row>
        <row r="34">
          <cell r="L34">
            <v>2077812</v>
          </cell>
        </row>
        <row r="35">
          <cell r="L35">
            <v>229800</v>
          </cell>
        </row>
        <row r="36">
          <cell r="L36">
            <v>8336677</v>
          </cell>
        </row>
        <row r="37">
          <cell r="L37">
            <v>26975827</v>
          </cell>
        </row>
        <row r="38">
          <cell r="L38">
            <v>59804879</v>
          </cell>
        </row>
        <row r="39">
          <cell r="L39">
            <v>2491686</v>
          </cell>
        </row>
        <row r="40">
          <cell r="L40">
            <v>399846</v>
          </cell>
        </row>
        <row r="41">
          <cell r="L41">
            <v>16682309</v>
          </cell>
        </row>
        <row r="42">
          <cell r="L42">
            <v>9320797</v>
          </cell>
        </row>
        <row r="43">
          <cell r="L43">
            <v>12978902</v>
          </cell>
        </row>
        <row r="44">
          <cell r="L44">
            <v>305905677</v>
          </cell>
        </row>
        <row r="45">
          <cell r="L45">
            <v>0</v>
          </cell>
        </row>
        <row r="46">
          <cell r="L46">
            <v>52634975</v>
          </cell>
        </row>
      </sheetData>
      <sheetData sheetId="6">
        <row r="23">
          <cell r="C23">
            <v>25382018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2625287</v>
          </cell>
        </row>
        <row r="5">
          <cell r="L5">
            <v>0</v>
          </cell>
        </row>
        <row r="6">
          <cell r="L6">
            <v>224214</v>
          </cell>
        </row>
        <row r="7">
          <cell r="L7">
            <v>20232832</v>
          </cell>
        </row>
        <row r="8">
          <cell r="L8">
            <v>7857635</v>
          </cell>
        </row>
        <row r="9">
          <cell r="L9">
            <v>742184</v>
          </cell>
        </row>
        <row r="10">
          <cell r="L10">
            <v>124357</v>
          </cell>
        </row>
        <row r="11">
          <cell r="L11">
            <v>1031429</v>
          </cell>
        </row>
        <row r="12">
          <cell r="L12">
            <v>0</v>
          </cell>
        </row>
        <row r="13">
          <cell r="L13">
            <v>316044</v>
          </cell>
        </row>
        <row r="14">
          <cell r="L14">
            <v>52262</v>
          </cell>
        </row>
        <row r="15">
          <cell r="L15">
            <v>4369895</v>
          </cell>
        </row>
        <row r="16">
          <cell r="L16">
            <v>1260149</v>
          </cell>
        </row>
        <row r="17">
          <cell r="L17">
            <v>376711</v>
          </cell>
        </row>
        <row r="18">
          <cell r="L18">
            <v>336245</v>
          </cell>
        </row>
        <row r="19">
          <cell r="L19">
            <v>777341</v>
          </cell>
        </row>
        <row r="20">
          <cell r="L20">
            <v>1499247</v>
          </cell>
        </row>
        <row r="21">
          <cell r="L21">
            <v>9263416</v>
          </cell>
        </row>
        <row r="22">
          <cell r="L22">
            <v>476391</v>
          </cell>
        </row>
        <row r="23">
          <cell r="L23">
            <v>3963971</v>
          </cell>
        </row>
        <row r="24">
          <cell r="L24">
            <v>735183</v>
          </cell>
        </row>
        <row r="25">
          <cell r="L25">
            <v>5457</v>
          </cell>
        </row>
        <row r="26">
          <cell r="L26">
            <v>396379</v>
          </cell>
        </row>
        <row r="27">
          <cell r="L27">
            <v>5781559</v>
          </cell>
        </row>
        <row r="28">
          <cell r="L28">
            <v>244747</v>
          </cell>
        </row>
        <row r="29">
          <cell r="L29">
            <v>0</v>
          </cell>
        </row>
        <row r="30">
          <cell r="L30">
            <v>720392</v>
          </cell>
        </row>
        <row r="31">
          <cell r="L31">
            <v>2391505</v>
          </cell>
        </row>
        <row r="32">
          <cell r="L32">
            <v>24641538</v>
          </cell>
        </row>
        <row r="33">
          <cell r="L33">
            <v>1892771</v>
          </cell>
        </row>
        <row r="34">
          <cell r="L34">
            <v>2140517</v>
          </cell>
        </row>
        <row r="35">
          <cell r="L35">
            <v>228063</v>
          </cell>
        </row>
        <row r="36">
          <cell r="L36">
            <v>8194231</v>
          </cell>
        </row>
        <row r="37">
          <cell r="L37">
            <v>26160028</v>
          </cell>
        </row>
        <row r="38">
          <cell r="L38">
            <v>60041824</v>
          </cell>
        </row>
        <row r="39">
          <cell r="L39">
            <v>2488260</v>
          </cell>
        </row>
        <row r="40">
          <cell r="L40">
            <v>311983</v>
          </cell>
        </row>
        <row r="41">
          <cell r="L41">
            <v>16523363</v>
          </cell>
        </row>
        <row r="42">
          <cell r="L42">
            <v>9695701</v>
          </cell>
        </row>
        <row r="43">
          <cell r="L43">
            <v>13017701</v>
          </cell>
        </row>
        <row r="44">
          <cell r="L44">
            <v>307889136</v>
          </cell>
        </row>
        <row r="45">
          <cell r="L45">
            <v>0</v>
          </cell>
        </row>
        <row r="46">
          <cell r="L46">
            <v>51126658</v>
          </cell>
        </row>
      </sheetData>
      <sheetData sheetId="6">
        <row r="23">
          <cell r="C23">
            <v>25629358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2331437</v>
          </cell>
        </row>
        <row r="5">
          <cell r="L5">
            <v>0</v>
          </cell>
        </row>
        <row r="6">
          <cell r="L6">
            <v>318245</v>
          </cell>
        </row>
        <row r="7">
          <cell r="L7">
            <v>20930833</v>
          </cell>
        </row>
        <row r="8">
          <cell r="L8">
            <v>8330608</v>
          </cell>
        </row>
        <row r="9">
          <cell r="L9">
            <v>1018913</v>
          </cell>
        </row>
        <row r="10">
          <cell r="L10">
            <v>133742</v>
          </cell>
        </row>
        <row r="11">
          <cell r="L11">
            <v>1516917</v>
          </cell>
        </row>
        <row r="12">
          <cell r="L12">
            <v>0</v>
          </cell>
        </row>
        <row r="13">
          <cell r="L13">
            <v>322038</v>
          </cell>
        </row>
        <row r="14">
          <cell r="L14">
            <v>45852</v>
          </cell>
        </row>
        <row r="15">
          <cell r="L15">
            <v>4428757</v>
          </cell>
        </row>
        <row r="16">
          <cell r="L16">
            <v>1264435</v>
          </cell>
        </row>
        <row r="17">
          <cell r="L17">
            <v>362750</v>
          </cell>
        </row>
        <row r="18">
          <cell r="L18">
            <v>334091</v>
          </cell>
        </row>
        <row r="19">
          <cell r="L19">
            <v>845616</v>
          </cell>
        </row>
        <row r="20">
          <cell r="L20">
            <v>1487263</v>
          </cell>
        </row>
        <row r="21">
          <cell r="L21">
            <v>9693144</v>
          </cell>
        </row>
        <row r="22">
          <cell r="L22">
            <v>471950</v>
          </cell>
        </row>
        <row r="23">
          <cell r="L23">
            <v>4037712</v>
          </cell>
        </row>
        <row r="24">
          <cell r="L24">
            <v>748094</v>
          </cell>
        </row>
        <row r="25">
          <cell r="L25">
            <v>6507</v>
          </cell>
        </row>
        <row r="26">
          <cell r="L26">
            <v>382935</v>
          </cell>
        </row>
        <row r="27">
          <cell r="L27">
            <v>5500971</v>
          </cell>
        </row>
        <row r="28">
          <cell r="L28">
            <v>257589</v>
          </cell>
        </row>
        <row r="29">
          <cell r="L29">
            <v>1486</v>
          </cell>
        </row>
        <row r="30">
          <cell r="L30">
            <v>642363</v>
          </cell>
        </row>
        <row r="31">
          <cell r="L31">
            <v>2319532</v>
          </cell>
        </row>
        <row r="32">
          <cell r="L32">
            <v>25523710</v>
          </cell>
        </row>
        <row r="33">
          <cell r="L33">
            <v>1865559</v>
          </cell>
        </row>
        <row r="34">
          <cell r="L34">
            <v>2133122</v>
          </cell>
        </row>
        <row r="35">
          <cell r="L35">
            <v>234286</v>
          </cell>
        </row>
        <row r="36">
          <cell r="L36">
            <v>7903472</v>
          </cell>
        </row>
        <row r="37">
          <cell r="L37">
            <v>26603555</v>
          </cell>
        </row>
        <row r="38">
          <cell r="L38">
            <v>59932412</v>
          </cell>
        </row>
        <row r="39">
          <cell r="L39">
            <v>2453746</v>
          </cell>
        </row>
        <row r="40">
          <cell r="L40">
            <v>321448</v>
          </cell>
        </row>
        <row r="41">
          <cell r="L41">
            <v>16300121</v>
          </cell>
        </row>
        <row r="42">
          <cell r="L42">
            <v>9577755</v>
          </cell>
        </row>
        <row r="43">
          <cell r="L43">
            <v>13366932</v>
          </cell>
        </row>
        <row r="44">
          <cell r="L44">
            <v>311013296</v>
          </cell>
        </row>
        <row r="45">
          <cell r="L45">
            <v>0</v>
          </cell>
        </row>
        <row r="46">
          <cell r="L46">
            <v>50057704</v>
          </cell>
        </row>
      </sheetData>
      <sheetData sheetId="6">
        <row r="23">
          <cell r="C23">
            <v>26137317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2432672</v>
          </cell>
        </row>
        <row r="5">
          <cell r="L5">
            <v>0</v>
          </cell>
        </row>
        <row r="6">
          <cell r="L6">
            <v>312125</v>
          </cell>
        </row>
        <row r="7">
          <cell r="L7">
            <v>20707864</v>
          </cell>
        </row>
        <row r="8">
          <cell r="L8">
            <v>7986393</v>
          </cell>
        </row>
        <row r="9">
          <cell r="L9">
            <v>1310491</v>
          </cell>
        </row>
        <row r="10">
          <cell r="L10">
            <v>141607</v>
          </cell>
        </row>
        <row r="11">
          <cell r="L11">
            <v>1854664</v>
          </cell>
        </row>
        <row r="12">
          <cell r="L12">
            <v>0</v>
          </cell>
        </row>
        <row r="13">
          <cell r="L13">
            <v>314056</v>
          </cell>
        </row>
        <row r="14">
          <cell r="L14">
            <v>31788</v>
          </cell>
        </row>
        <row r="15">
          <cell r="L15">
            <v>6504200</v>
          </cell>
        </row>
        <row r="16">
          <cell r="L16">
            <v>1256650</v>
          </cell>
        </row>
        <row r="17">
          <cell r="L17">
            <v>447882</v>
          </cell>
        </row>
        <row r="18">
          <cell r="L18">
            <v>333097</v>
          </cell>
        </row>
        <row r="19">
          <cell r="L19">
            <v>916722</v>
          </cell>
        </row>
        <row r="20">
          <cell r="L20">
            <v>1465584</v>
          </cell>
        </row>
        <row r="21">
          <cell r="L21">
            <v>10079193</v>
          </cell>
        </row>
        <row r="22">
          <cell r="L22">
            <v>491305</v>
          </cell>
        </row>
        <row r="23">
          <cell r="L23">
            <v>3971317</v>
          </cell>
        </row>
        <row r="24">
          <cell r="L24">
            <v>755335</v>
          </cell>
        </row>
        <row r="25">
          <cell r="L25">
            <v>7114</v>
          </cell>
        </row>
        <row r="26">
          <cell r="L26">
            <v>392306</v>
          </cell>
        </row>
        <row r="27">
          <cell r="L27">
            <v>5405077</v>
          </cell>
        </row>
        <row r="28">
          <cell r="L28">
            <v>258059</v>
          </cell>
        </row>
        <row r="29">
          <cell r="L29">
            <v>0</v>
          </cell>
        </row>
        <row r="30">
          <cell r="L30">
            <v>649022</v>
          </cell>
        </row>
        <row r="31">
          <cell r="L31">
            <v>2123684</v>
          </cell>
        </row>
        <row r="32">
          <cell r="L32">
            <v>26186240</v>
          </cell>
        </row>
        <row r="33">
          <cell r="L33">
            <v>1856911</v>
          </cell>
        </row>
        <row r="34">
          <cell r="L34">
            <v>2141902</v>
          </cell>
        </row>
        <row r="35">
          <cell r="L35">
            <v>419091</v>
          </cell>
        </row>
        <row r="36">
          <cell r="L36">
            <v>8002363</v>
          </cell>
        </row>
        <row r="37">
          <cell r="L37">
            <v>27255592</v>
          </cell>
        </row>
        <row r="38">
          <cell r="L38">
            <v>60029429</v>
          </cell>
        </row>
        <row r="39">
          <cell r="L39">
            <v>2554403</v>
          </cell>
        </row>
        <row r="40">
          <cell r="L40">
            <v>329769</v>
          </cell>
        </row>
        <row r="41">
          <cell r="L41">
            <v>15619783</v>
          </cell>
        </row>
        <row r="42">
          <cell r="L42">
            <v>9616144</v>
          </cell>
        </row>
        <row r="43">
          <cell r="L43">
            <v>14409635</v>
          </cell>
        </row>
        <row r="44">
          <cell r="L44">
            <v>314362570</v>
          </cell>
        </row>
        <row r="45">
          <cell r="L45">
            <v>91</v>
          </cell>
        </row>
        <row r="46">
          <cell r="L46">
            <v>54583473</v>
          </cell>
        </row>
      </sheetData>
      <sheetData sheetId="6">
        <row r="23">
          <cell r="C23">
            <v>27055996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2390229</v>
          </cell>
        </row>
        <row r="5">
          <cell r="L5">
            <v>0</v>
          </cell>
        </row>
        <row r="6">
          <cell r="L6">
            <v>256542</v>
          </cell>
        </row>
        <row r="7">
          <cell r="L7">
            <v>19037401</v>
          </cell>
        </row>
        <row r="8">
          <cell r="L8">
            <v>8118170</v>
          </cell>
        </row>
        <row r="9">
          <cell r="L9">
            <v>1726685</v>
          </cell>
        </row>
        <row r="10">
          <cell r="L10">
            <v>144199</v>
          </cell>
        </row>
        <row r="11">
          <cell r="L11">
            <v>1849354</v>
          </cell>
        </row>
        <row r="12">
          <cell r="L12">
            <v>0</v>
          </cell>
        </row>
        <row r="13">
          <cell r="L13">
            <v>313865</v>
          </cell>
        </row>
        <row r="14">
          <cell r="L14">
            <v>33611</v>
          </cell>
        </row>
        <row r="15">
          <cell r="L15">
            <v>6514648</v>
          </cell>
        </row>
        <row r="16">
          <cell r="L16">
            <v>1220070</v>
          </cell>
        </row>
        <row r="17">
          <cell r="L17">
            <v>439304</v>
          </cell>
        </row>
        <row r="18">
          <cell r="L18">
            <v>337627</v>
          </cell>
        </row>
        <row r="19">
          <cell r="L19">
            <v>1003758</v>
          </cell>
        </row>
        <row r="20">
          <cell r="L20">
            <v>1442252</v>
          </cell>
        </row>
        <row r="21">
          <cell r="L21">
            <v>10082407</v>
          </cell>
        </row>
        <row r="22">
          <cell r="L22">
            <v>481004</v>
          </cell>
        </row>
        <row r="23">
          <cell r="L23">
            <v>3951032</v>
          </cell>
        </row>
        <row r="24">
          <cell r="L24">
            <v>735675</v>
          </cell>
        </row>
        <row r="25">
          <cell r="L25">
            <v>4236</v>
          </cell>
        </row>
        <row r="26">
          <cell r="L26">
            <v>392640</v>
          </cell>
        </row>
        <row r="27">
          <cell r="L27">
            <v>7559253</v>
          </cell>
        </row>
        <row r="28">
          <cell r="L28">
            <v>297120</v>
          </cell>
        </row>
        <row r="29">
          <cell r="L29">
            <v>0</v>
          </cell>
        </row>
        <row r="30">
          <cell r="L30">
            <v>675608</v>
          </cell>
        </row>
        <row r="31">
          <cell r="L31">
            <v>1996875</v>
          </cell>
        </row>
        <row r="32">
          <cell r="L32">
            <v>24637020</v>
          </cell>
        </row>
        <row r="33">
          <cell r="L33">
            <v>1910078</v>
          </cell>
        </row>
        <row r="34">
          <cell r="L34">
            <v>2037005</v>
          </cell>
        </row>
        <row r="35">
          <cell r="L35">
            <v>285360</v>
          </cell>
        </row>
        <row r="36">
          <cell r="L36">
            <v>9208768</v>
          </cell>
        </row>
        <row r="37">
          <cell r="L37">
            <v>26353463</v>
          </cell>
        </row>
        <row r="38">
          <cell r="L38">
            <v>59661231</v>
          </cell>
        </row>
        <row r="39">
          <cell r="L39">
            <v>2528997</v>
          </cell>
        </row>
        <row r="40">
          <cell r="L40">
            <v>381385</v>
          </cell>
        </row>
        <row r="41">
          <cell r="L41">
            <v>16653369</v>
          </cell>
        </row>
        <row r="42">
          <cell r="L42">
            <v>9621983</v>
          </cell>
        </row>
        <row r="43">
          <cell r="L43">
            <v>13096153</v>
          </cell>
        </row>
        <row r="44">
          <cell r="L44">
            <v>316804891</v>
          </cell>
        </row>
        <row r="45">
          <cell r="L45">
            <v>6254</v>
          </cell>
        </row>
        <row r="46">
          <cell r="L46">
            <v>52953743</v>
          </cell>
        </row>
      </sheetData>
      <sheetData sheetId="6">
        <row r="23">
          <cell r="C23">
            <v>33674362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DATA_M13A"/>
      <sheetName val="DATA_M13B"/>
      <sheetName val="DATA_M11"/>
      <sheetName val="M13A_RESIDENTS"/>
      <sheetName val="M13B_NONRESIDENTS"/>
      <sheetName val="M11"/>
      <sheetName val="SUMMARY"/>
    </sheetNames>
    <sheetDataSet>
      <sheetData sheetId="3">
        <row r="4">
          <cell r="L4">
            <v>2234750</v>
          </cell>
        </row>
        <row r="5">
          <cell r="L5">
            <v>9</v>
          </cell>
        </row>
        <row r="6">
          <cell r="L6">
            <v>602770</v>
          </cell>
        </row>
        <row r="7">
          <cell r="L7">
            <v>20347309</v>
          </cell>
        </row>
        <row r="8">
          <cell r="L8">
            <v>8239933</v>
          </cell>
        </row>
        <row r="9">
          <cell r="L9">
            <v>2177720</v>
          </cell>
        </row>
        <row r="10">
          <cell r="L10">
            <v>139866</v>
          </cell>
        </row>
        <row r="11">
          <cell r="L11">
            <v>1859318</v>
          </cell>
        </row>
        <row r="12">
          <cell r="L12">
            <v>0</v>
          </cell>
        </row>
        <row r="13">
          <cell r="L13">
            <v>318838</v>
          </cell>
        </row>
        <row r="14">
          <cell r="L14">
            <v>67416</v>
          </cell>
        </row>
        <row r="15">
          <cell r="L15">
            <v>6489438</v>
          </cell>
        </row>
        <row r="16">
          <cell r="L16">
            <v>1224012</v>
          </cell>
        </row>
        <row r="17">
          <cell r="L17">
            <v>463730</v>
          </cell>
        </row>
        <row r="18">
          <cell r="L18">
            <v>320002</v>
          </cell>
        </row>
        <row r="19">
          <cell r="L19">
            <v>978915</v>
          </cell>
        </row>
        <row r="20">
          <cell r="L20">
            <v>1619844</v>
          </cell>
        </row>
        <row r="21">
          <cell r="L21">
            <v>10420431</v>
          </cell>
        </row>
        <row r="22">
          <cell r="L22">
            <v>482060</v>
          </cell>
        </row>
        <row r="23">
          <cell r="L23">
            <v>221051</v>
          </cell>
        </row>
        <row r="24">
          <cell r="L24">
            <v>767162</v>
          </cell>
        </row>
        <row r="25">
          <cell r="L25">
            <v>5290</v>
          </cell>
        </row>
        <row r="26">
          <cell r="L26">
            <v>392438</v>
          </cell>
        </row>
        <row r="27">
          <cell r="L27">
            <v>11419222</v>
          </cell>
        </row>
        <row r="28">
          <cell r="L28">
            <v>357345</v>
          </cell>
        </row>
        <row r="29">
          <cell r="L29">
            <v>101</v>
          </cell>
        </row>
        <row r="30">
          <cell r="L30">
            <v>917158</v>
          </cell>
        </row>
        <row r="31">
          <cell r="L31">
            <v>1896651</v>
          </cell>
        </row>
        <row r="32">
          <cell r="L32">
            <v>25566339</v>
          </cell>
        </row>
        <row r="33">
          <cell r="L33">
            <v>1885105</v>
          </cell>
        </row>
        <row r="34">
          <cell r="L34">
            <v>2155102</v>
          </cell>
        </row>
        <row r="35">
          <cell r="L35">
            <v>301382</v>
          </cell>
        </row>
        <row r="36">
          <cell r="L36">
            <v>9300890</v>
          </cell>
        </row>
        <row r="37">
          <cell r="L37">
            <v>27085564</v>
          </cell>
        </row>
        <row r="38">
          <cell r="L38">
            <v>59585598</v>
          </cell>
        </row>
        <row r="39">
          <cell r="L39">
            <v>2548388</v>
          </cell>
        </row>
        <row r="40">
          <cell r="L40">
            <v>395093</v>
          </cell>
        </row>
        <row r="41">
          <cell r="L41">
            <v>17729359</v>
          </cell>
        </row>
        <row r="42">
          <cell r="L42">
            <v>9693965</v>
          </cell>
        </row>
        <row r="43">
          <cell r="L43">
            <v>12562931</v>
          </cell>
        </row>
        <row r="44">
          <cell r="L44">
            <v>321737000</v>
          </cell>
        </row>
        <row r="45">
          <cell r="L45">
            <v>10254</v>
          </cell>
        </row>
        <row r="46">
          <cell r="L46">
            <v>54312242</v>
          </cell>
        </row>
      </sheetData>
      <sheetData sheetId="6">
        <row r="23">
          <cell r="C23">
            <v>34650892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872"/>
  <sheetViews>
    <sheetView showGridLines="0" tabSelected="1" zoomScalePageLayoutView="0" workbookViewId="0" topLeftCell="A1">
      <pane ySplit="12" topLeftCell="A465" activePane="bottomLeft" state="frozen"/>
      <selection pane="topLeft" activeCell="A1" sqref="A1"/>
      <selection pane="bottomLeft" activeCell="B468" sqref="B468"/>
    </sheetView>
  </sheetViews>
  <sheetFormatPr defaultColWidth="9.140625" defaultRowHeight="15"/>
  <cols>
    <col min="1" max="1" width="14.140625" style="3" customWidth="1"/>
    <col min="2" max="39" width="16.57421875" style="4" customWidth="1"/>
    <col min="40" max="49" width="10.140625" style="4" bestFit="1" customWidth="1"/>
    <col min="50" max="50" width="11.140625" style="4" customWidth="1"/>
    <col min="51" max="52" width="11.140625" style="4" bestFit="1" customWidth="1"/>
    <col min="53" max="53" width="11.140625" style="4" customWidth="1"/>
    <col min="54" max="55" width="11.140625" style="4" bestFit="1" customWidth="1"/>
    <col min="56" max="56" width="11.140625" style="4" customWidth="1"/>
    <col min="57" max="58" width="11.140625" style="4" bestFit="1" customWidth="1"/>
    <col min="59" max="59" width="11.140625" style="4" customWidth="1"/>
    <col min="60" max="61" width="11.140625" style="4" bestFit="1" customWidth="1"/>
    <col min="62" max="62" width="11.140625" style="4" customWidth="1"/>
    <col min="63" max="64" width="11.140625" style="4" bestFit="1" customWidth="1"/>
    <col min="65" max="69" width="11.140625" style="4" customWidth="1"/>
    <col min="70" max="120" width="11.140625" style="4" bestFit="1" customWidth="1"/>
    <col min="121" max="121" width="26.00390625" style="3" customWidth="1"/>
    <col min="122" max="122" width="21.00390625" style="3" customWidth="1"/>
    <col min="123" max="131" width="19.28125" style="3" customWidth="1"/>
    <col min="132" max="132" width="14.421875" style="3" customWidth="1"/>
    <col min="133" max="133" width="15.00390625" style="3" customWidth="1"/>
    <col min="134" max="134" width="14.00390625" style="3" customWidth="1"/>
    <col min="135" max="139" width="15.00390625" style="3" customWidth="1"/>
    <col min="140" max="140" width="14.421875" style="3" customWidth="1"/>
    <col min="141" max="147" width="15.00390625" style="3" customWidth="1"/>
    <col min="148" max="148" width="14.00390625" style="3" customWidth="1"/>
    <col min="149" max="150" width="15.00390625" style="3" customWidth="1"/>
    <col min="151" max="152" width="14.421875" style="3" customWidth="1"/>
    <col min="153" max="154" width="15.00390625" style="3" customWidth="1"/>
    <col min="155" max="156" width="14.421875" style="3" customWidth="1"/>
    <col min="157" max="157" width="13.7109375" style="3" customWidth="1"/>
    <col min="158" max="158" width="14.00390625" style="3" customWidth="1"/>
    <col min="159" max="159" width="15.00390625" style="3" customWidth="1"/>
    <col min="160" max="180" width="14.7109375" style="1" customWidth="1"/>
    <col min="181" max="182" width="14.57421875" style="1" customWidth="1"/>
    <col min="183" max="184" width="16.57421875" style="1" customWidth="1"/>
    <col min="185" max="192" width="15.00390625" style="1" bestFit="1" customWidth="1"/>
    <col min="193" max="197" width="12.00390625" style="1" bestFit="1" customWidth="1"/>
    <col min="198" max="198" width="13.28125" style="1" customWidth="1"/>
    <col min="199" max="199" width="11.7109375" style="1" customWidth="1"/>
    <col min="200" max="206" width="12.00390625" style="1" bestFit="1" customWidth="1"/>
    <col min="207" max="212" width="11.8515625" style="1" customWidth="1"/>
    <col min="213" max="213" width="12.421875" style="1" customWidth="1"/>
    <col min="214" max="214" width="12.00390625" style="1" bestFit="1" customWidth="1"/>
    <col min="215" max="215" width="11.8515625" style="1" customWidth="1"/>
    <col min="216" max="216" width="14.140625" style="1" customWidth="1"/>
    <col min="217" max="217" width="11.7109375" style="1" customWidth="1"/>
    <col min="218" max="219" width="13.57421875" style="1" customWidth="1"/>
    <col min="220" max="221" width="15.421875" style="1" customWidth="1"/>
    <col min="222" max="224" width="12.57421875" style="1" customWidth="1"/>
    <col min="225" max="225" width="13.00390625" style="1" customWidth="1"/>
    <col min="226" max="227" width="11.140625" style="1" bestFit="1" customWidth="1"/>
    <col min="228" max="234" width="11.28125" style="1" bestFit="1" customWidth="1"/>
    <col min="235" max="235" width="11.421875" style="1" customWidth="1"/>
    <col min="236" max="237" width="11.00390625" style="1" customWidth="1"/>
    <col min="238" max="238" width="12.8515625" style="1" bestFit="1" customWidth="1"/>
    <col min="239" max="241" width="11.421875" style="1" bestFit="1" customWidth="1"/>
    <col min="242" max="16384" width="9.140625" style="1" customWidth="1"/>
  </cols>
  <sheetData>
    <row r="1" spans="1:206" ht="15">
      <c r="A1" s="23" t="s">
        <v>47</v>
      </c>
      <c r="B1" s="24" t="s">
        <v>58</v>
      </c>
      <c r="C1" s="24"/>
      <c r="D1" s="24"/>
      <c r="E1" s="25"/>
      <c r="F1" s="50"/>
      <c r="G1" s="50"/>
      <c r="EN1" s="5"/>
      <c r="EO1" s="5"/>
      <c r="EP1" s="5"/>
      <c r="FR1" s="5"/>
      <c r="FS1" s="5"/>
      <c r="FT1" s="5"/>
      <c r="FU1" s="5"/>
      <c r="FV1" s="5"/>
      <c r="GB1" s="5"/>
      <c r="GC1" s="5"/>
      <c r="GI1" s="5"/>
      <c r="GS1" s="5"/>
      <c r="GT1" s="5"/>
      <c r="GU1" s="5"/>
      <c r="GW1" s="5"/>
      <c r="GX1" s="5" t="s">
        <v>28</v>
      </c>
    </row>
    <row r="2" spans="1:206" ht="15">
      <c r="A2" s="23" t="s">
        <v>48</v>
      </c>
      <c r="B2" s="26" t="s">
        <v>49</v>
      </c>
      <c r="C2" s="24"/>
      <c r="D2" s="24"/>
      <c r="E2" s="25"/>
      <c r="F2" s="50"/>
      <c r="G2" s="50"/>
      <c r="EN2" s="5"/>
      <c r="EO2" s="5"/>
      <c r="EP2" s="5"/>
      <c r="FR2" s="5"/>
      <c r="FS2" s="5"/>
      <c r="FT2" s="5"/>
      <c r="FU2" s="5"/>
      <c r="FV2" s="5"/>
      <c r="GB2" s="5"/>
      <c r="GC2" s="5"/>
      <c r="GI2" s="5"/>
      <c r="GS2" s="5"/>
      <c r="GT2" s="5"/>
      <c r="GU2" s="5"/>
      <c r="GW2" s="5"/>
      <c r="GX2" s="5"/>
    </row>
    <row r="3" spans="1:206" ht="15">
      <c r="A3" s="23" t="s">
        <v>50</v>
      </c>
      <c r="B3" s="27" t="s">
        <v>63</v>
      </c>
      <c r="C3" s="27"/>
      <c r="D3" s="27"/>
      <c r="E3" s="28"/>
      <c r="F3" s="51"/>
      <c r="G3" s="51"/>
      <c r="EN3" s="5"/>
      <c r="EO3" s="5"/>
      <c r="EP3" s="5"/>
      <c r="FR3" s="5"/>
      <c r="FS3" s="5"/>
      <c r="FT3" s="5"/>
      <c r="FU3" s="5"/>
      <c r="FV3" s="5"/>
      <c r="GB3" s="5"/>
      <c r="GC3" s="5"/>
      <c r="GI3" s="5"/>
      <c r="GS3" s="5"/>
      <c r="GT3" s="5"/>
      <c r="GU3" s="5"/>
      <c r="GW3" s="5"/>
      <c r="GX3" s="5"/>
    </row>
    <row r="4" spans="1:206" ht="15">
      <c r="A4" s="23" t="s">
        <v>51</v>
      </c>
      <c r="B4" s="29" t="s">
        <v>65</v>
      </c>
      <c r="C4" s="30"/>
      <c r="D4" s="29"/>
      <c r="E4" s="31"/>
      <c r="F4" s="52"/>
      <c r="G4" s="52"/>
      <c r="EN4" s="5"/>
      <c r="EO4" s="5"/>
      <c r="EP4" s="5"/>
      <c r="FR4" s="5"/>
      <c r="FS4" s="5"/>
      <c r="FT4" s="5"/>
      <c r="FU4" s="5"/>
      <c r="FV4" s="5"/>
      <c r="GB4" s="5"/>
      <c r="GC4" s="5"/>
      <c r="GI4" s="5"/>
      <c r="GS4" s="5"/>
      <c r="GT4" s="5"/>
      <c r="GU4" s="5"/>
      <c r="GW4" s="5"/>
      <c r="GX4" s="5"/>
    </row>
    <row r="5" spans="1:206" ht="15">
      <c r="A5" s="23" t="s">
        <v>52</v>
      </c>
      <c r="B5" s="32" t="s">
        <v>53</v>
      </c>
      <c r="C5" s="33"/>
      <c r="D5" s="33"/>
      <c r="E5" s="31"/>
      <c r="F5" s="52"/>
      <c r="G5" s="52"/>
      <c r="EN5" s="5"/>
      <c r="EO5" s="5"/>
      <c r="EP5" s="5"/>
      <c r="FR5" s="5"/>
      <c r="FS5" s="5"/>
      <c r="FT5" s="5"/>
      <c r="FU5" s="5"/>
      <c r="FV5" s="5"/>
      <c r="GB5" s="5"/>
      <c r="GC5" s="5"/>
      <c r="GI5" s="5"/>
      <c r="GS5" s="5"/>
      <c r="GT5" s="5"/>
      <c r="GU5" s="5"/>
      <c r="GW5" s="5"/>
      <c r="GX5" s="5"/>
    </row>
    <row r="6" spans="1:206" ht="15">
      <c r="A6" s="23" t="s">
        <v>54</v>
      </c>
      <c r="B6" s="32" t="s">
        <v>64</v>
      </c>
      <c r="C6" s="33"/>
      <c r="D6" s="33"/>
      <c r="E6" s="31"/>
      <c r="F6" s="52"/>
      <c r="G6" s="52"/>
      <c r="EN6" s="5"/>
      <c r="EO6" s="5"/>
      <c r="EP6" s="5"/>
      <c r="FR6" s="5"/>
      <c r="FS6" s="5"/>
      <c r="FT6" s="5"/>
      <c r="FU6" s="5"/>
      <c r="FV6" s="5"/>
      <c r="GB6" s="5"/>
      <c r="GC6" s="5"/>
      <c r="GI6" s="5"/>
      <c r="GS6" s="5"/>
      <c r="GT6" s="5"/>
      <c r="GU6" s="5"/>
      <c r="GW6" s="5"/>
      <c r="GX6" s="5"/>
    </row>
    <row r="7" spans="1:206" ht="15">
      <c r="A7" s="23" t="s">
        <v>55</v>
      </c>
      <c r="B7" s="32" t="s">
        <v>56</v>
      </c>
      <c r="C7" s="33"/>
      <c r="D7" s="33"/>
      <c r="E7" s="31"/>
      <c r="F7" s="52"/>
      <c r="G7" s="52"/>
      <c r="EN7" s="5"/>
      <c r="EO7" s="5"/>
      <c r="EP7" s="5"/>
      <c r="FR7" s="5"/>
      <c r="FS7" s="5"/>
      <c r="FT7" s="5"/>
      <c r="FU7" s="5"/>
      <c r="FV7" s="5"/>
      <c r="GB7" s="5"/>
      <c r="GC7" s="5"/>
      <c r="GI7" s="5"/>
      <c r="GS7" s="5"/>
      <c r="GT7" s="5"/>
      <c r="GU7" s="5"/>
      <c r="GW7" s="5"/>
      <c r="GX7" s="5"/>
    </row>
    <row r="8" spans="1:241" ht="15">
      <c r="A8" s="34" t="s">
        <v>57</v>
      </c>
      <c r="B8" s="35"/>
      <c r="C8" s="36"/>
      <c r="D8" s="36"/>
      <c r="E8" s="37"/>
      <c r="F8" s="53"/>
      <c r="G8" s="5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EC8" s="7"/>
      <c r="ED8" s="8"/>
      <c r="EE8" s="8"/>
      <c r="EF8" s="8"/>
      <c r="EG8" s="8"/>
      <c r="EH8" s="8"/>
      <c r="EI8" s="8"/>
      <c r="EJ8" s="8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2:140" ht="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EC9" s="7"/>
      <c r="ED9" s="8"/>
      <c r="EE9" s="8"/>
      <c r="EF9" s="8"/>
      <c r="EG9" s="8"/>
      <c r="EH9" s="8"/>
      <c r="EI9" s="8"/>
      <c r="EJ9" s="8"/>
    </row>
    <row r="10" spans="2:140" ht="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EC10" s="7"/>
      <c r="ED10" s="8"/>
      <c r="EE10" s="8"/>
      <c r="EF10" s="8"/>
      <c r="EG10" s="8"/>
      <c r="EH10" s="8"/>
      <c r="EI10" s="8"/>
      <c r="EJ10" s="8"/>
    </row>
    <row r="11" spans="1:159" s="43" customFormat="1" ht="29.25" customHeight="1">
      <c r="A11" s="20"/>
      <c r="B11" s="54" t="s">
        <v>33</v>
      </c>
      <c r="C11" s="54"/>
      <c r="D11" s="54"/>
      <c r="E11" s="54"/>
      <c r="F11" s="55" t="s">
        <v>34</v>
      </c>
      <c r="G11" s="56" t="s">
        <v>32</v>
      </c>
      <c r="H11" s="56"/>
      <c r="I11" s="56"/>
      <c r="J11" s="56"/>
      <c r="K11" s="56"/>
      <c r="L11" s="56"/>
      <c r="M11" s="56"/>
      <c r="N11" s="56"/>
      <c r="O11" s="56"/>
      <c r="P11" s="56"/>
      <c r="Q11" s="54" t="s">
        <v>35</v>
      </c>
      <c r="R11" s="54"/>
      <c r="S11" s="54"/>
      <c r="T11" s="54"/>
      <c r="U11" s="54" t="s">
        <v>36</v>
      </c>
      <c r="V11" s="54" t="s">
        <v>37</v>
      </c>
      <c r="W11" s="54"/>
      <c r="X11" s="54"/>
      <c r="Y11" s="54"/>
      <c r="Z11" s="54" t="s">
        <v>38</v>
      </c>
      <c r="AA11" s="54" t="s">
        <v>39</v>
      </c>
      <c r="AB11" s="54"/>
      <c r="AC11" s="54"/>
      <c r="AD11" s="54"/>
      <c r="AE11" s="54"/>
      <c r="AF11" s="54" t="s">
        <v>40</v>
      </c>
      <c r="AG11" s="54" t="s">
        <v>41</v>
      </c>
      <c r="AH11" s="54" t="s">
        <v>42</v>
      </c>
      <c r="AI11" s="54" t="s">
        <v>43</v>
      </c>
      <c r="AJ11" s="54" t="s">
        <v>44</v>
      </c>
      <c r="AK11" s="54" t="s">
        <v>62</v>
      </c>
      <c r="AL11" s="54" t="s">
        <v>45</v>
      </c>
      <c r="AM11" s="54" t="s">
        <v>30</v>
      </c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41"/>
      <c r="ED11" s="42"/>
      <c r="EE11" s="42"/>
      <c r="EF11" s="42"/>
      <c r="EG11" s="42"/>
      <c r="EH11" s="42"/>
      <c r="EI11" s="42"/>
      <c r="EJ11" s="42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</row>
    <row r="12" spans="1:159" s="48" customFormat="1" ht="38.25">
      <c r="A12" s="21" t="s">
        <v>46</v>
      </c>
      <c r="B12" s="11" t="s">
        <v>5</v>
      </c>
      <c r="C12" s="11" t="s">
        <v>6</v>
      </c>
      <c r="D12" s="11" t="s">
        <v>7</v>
      </c>
      <c r="E12" s="11" t="s">
        <v>8</v>
      </c>
      <c r="F12" s="55"/>
      <c r="G12" s="11" t="s">
        <v>5</v>
      </c>
      <c r="H12" s="11" t="s">
        <v>9</v>
      </c>
      <c r="I12" s="11" t="s">
        <v>10</v>
      </c>
      <c r="J12" s="11" t="s">
        <v>11</v>
      </c>
      <c r="K12" s="11" t="s">
        <v>12</v>
      </c>
      <c r="L12" s="11" t="s">
        <v>13</v>
      </c>
      <c r="M12" s="11" t="s">
        <v>14</v>
      </c>
      <c r="N12" s="11" t="s">
        <v>15</v>
      </c>
      <c r="O12" s="11" t="s">
        <v>16</v>
      </c>
      <c r="P12" s="11" t="s">
        <v>17</v>
      </c>
      <c r="Q12" s="12" t="s">
        <v>5</v>
      </c>
      <c r="R12" s="12" t="s">
        <v>18</v>
      </c>
      <c r="S12" s="12" t="s">
        <v>19</v>
      </c>
      <c r="T12" s="12" t="s">
        <v>8</v>
      </c>
      <c r="U12" s="54"/>
      <c r="V12" s="11" t="s">
        <v>5</v>
      </c>
      <c r="W12" s="11" t="s">
        <v>20</v>
      </c>
      <c r="X12" s="11" t="s">
        <v>21</v>
      </c>
      <c r="Y12" s="11" t="s">
        <v>22</v>
      </c>
      <c r="Z12" s="54" t="s">
        <v>0</v>
      </c>
      <c r="AA12" s="11" t="s">
        <v>5</v>
      </c>
      <c r="AB12" s="11" t="s">
        <v>23</v>
      </c>
      <c r="AC12" s="11" t="s">
        <v>24</v>
      </c>
      <c r="AD12" s="11" t="s">
        <v>25</v>
      </c>
      <c r="AE12" s="11" t="s">
        <v>26</v>
      </c>
      <c r="AF12" s="54" t="s">
        <v>1</v>
      </c>
      <c r="AG12" s="54" t="s">
        <v>31</v>
      </c>
      <c r="AH12" s="54" t="s">
        <v>2</v>
      </c>
      <c r="AI12" s="54" t="s">
        <v>2</v>
      </c>
      <c r="AJ12" s="54" t="s">
        <v>3</v>
      </c>
      <c r="AK12" s="54" t="s">
        <v>27</v>
      </c>
      <c r="AL12" s="54" t="s">
        <v>4</v>
      </c>
      <c r="AM12" s="54" t="s">
        <v>5</v>
      </c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46"/>
      <c r="ED12" s="47"/>
      <c r="EE12" s="47"/>
      <c r="EF12" s="47"/>
      <c r="EG12" s="47"/>
      <c r="EH12" s="47"/>
      <c r="EI12" s="47"/>
      <c r="EJ12" s="47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</row>
    <row r="13" spans="1:159" s="19" customFormat="1" ht="15">
      <c r="A13" s="22">
        <v>31532</v>
      </c>
      <c r="B13" s="49">
        <f aca="true" t="shared" si="0" ref="B13:B76">SUM(C13:E13)</f>
        <v>467.43600000000004</v>
      </c>
      <c r="C13" s="13">
        <f>(23551+7736+22771+79786+9421+100501+185340)/1000</f>
        <v>429.106</v>
      </c>
      <c r="D13" s="13">
        <f>(7664+26030)/1000</f>
        <v>33.694</v>
      </c>
      <c r="E13" s="13">
        <v>4.636</v>
      </c>
      <c r="F13" s="49">
        <v>7.645</v>
      </c>
      <c r="G13" s="49">
        <f aca="true" t="shared" si="1" ref="G13:G76">SUM(H13:P13)</f>
        <v>769.9100000000001</v>
      </c>
      <c r="H13" s="13">
        <v>70.475</v>
      </c>
      <c r="I13" s="13">
        <f>(127495+12546)/1000</f>
        <v>140.041</v>
      </c>
      <c r="J13" s="13">
        <v>41.273</v>
      </c>
      <c r="K13" s="13">
        <v>90.538</v>
      </c>
      <c r="L13" s="13">
        <v>44.284</v>
      </c>
      <c r="M13" s="13">
        <v>55.744</v>
      </c>
      <c r="N13" s="13">
        <v>28.524</v>
      </c>
      <c r="O13" s="13">
        <v>62.753</v>
      </c>
      <c r="P13" s="13">
        <v>236.278</v>
      </c>
      <c r="Q13" s="49">
        <f aca="true" t="shared" si="2" ref="Q13:Q76">SUM(R13:T13)</f>
        <v>605.852</v>
      </c>
      <c r="R13" s="13">
        <v>297.656</v>
      </c>
      <c r="S13" s="13">
        <v>185.289</v>
      </c>
      <c r="T13" s="13">
        <v>122.907</v>
      </c>
      <c r="U13" s="49">
        <v>58.611</v>
      </c>
      <c r="V13" s="49">
        <f aca="true" t="shared" si="3" ref="V13:V76">SUM(W13:Y13)</f>
        <v>416.911</v>
      </c>
      <c r="W13" s="13">
        <v>383.764</v>
      </c>
      <c r="X13" s="13">
        <v>8.871</v>
      </c>
      <c r="Y13" s="13">
        <v>24.276</v>
      </c>
      <c r="Z13" s="49">
        <v>14.933</v>
      </c>
      <c r="AA13" s="49">
        <f aca="true" t="shared" si="4" ref="AA13:AA76">SUM(AB13:AE13)</f>
        <v>360.91700000000003</v>
      </c>
      <c r="AB13" s="13">
        <v>228.022</v>
      </c>
      <c r="AC13" s="13">
        <v>132.895</v>
      </c>
      <c r="AD13" s="13">
        <v>0</v>
      </c>
      <c r="AE13" s="13">
        <v>0</v>
      </c>
      <c r="AF13" s="49">
        <v>105.625</v>
      </c>
      <c r="AG13" s="49">
        <v>0</v>
      </c>
      <c r="AH13" s="49">
        <v>168.798</v>
      </c>
      <c r="AI13" s="49">
        <v>32.179</v>
      </c>
      <c r="AJ13" s="49">
        <v>137.746</v>
      </c>
      <c r="AK13" s="49">
        <v>138.046</v>
      </c>
      <c r="AL13" s="49">
        <v>4.598</v>
      </c>
      <c r="AM13" s="14">
        <f aca="true" t="shared" si="5" ref="AM13:AM76">+B13+F13+G13+Q13+U13+V13+Z13+AA13+AF13+AH13+AI13+AJ13+AK13+AL13+AG13</f>
        <v>3289.207</v>
      </c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8"/>
      <c r="ED13" s="18"/>
      <c r="EE13" s="18"/>
      <c r="EF13" s="18"/>
      <c r="EG13" s="18"/>
      <c r="EH13" s="18"/>
      <c r="EI13" s="18"/>
      <c r="EJ13" s="18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</row>
    <row r="14" spans="1:159" s="19" customFormat="1" ht="15">
      <c r="A14" s="22">
        <v>31563</v>
      </c>
      <c r="B14" s="49">
        <f t="shared" si="0"/>
        <v>476.041</v>
      </c>
      <c r="C14" s="13">
        <f>(191139+24353+7653+20032+80993+9477+104259)/1000</f>
        <v>437.906</v>
      </c>
      <c r="D14" s="13">
        <f>(27554+6619)/1000</f>
        <v>34.173</v>
      </c>
      <c r="E14" s="13">
        <v>3.962</v>
      </c>
      <c r="F14" s="49">
        <v>8.519</v>
      </c>
      <c r="G14" s="49">
        <f t="shared" si="1"/>
        <v>755.7860000000001</v>
      </c>
      <c r="H14" s="13">
        <v>67.162</v>
      </c>
      <c r="I14" s="13">
        <f>(127088+9337)/1000</f>
        <v>136.425</v>
      </c>
      <c r="J14" s="13">
        <v>38.595</v>
      </c>
      <c r="K14" s="13">
        <v>95.054</v>
      </c>
      <c r="L14" s="13">
        <v>50.956</v>
      </c>
      <c r="M14" s="13">
        <v>54.776</v>
      </c>
      <c r="N14" s="13">
        <v>29.777</v>
      </c>
      <c r="O14" s="13">
        <v>62.86</v>
      </c>
      <c r="P14" s="13">
        <v>220.181</v>
      </c>
      <c r="Q14" s="49">
        <f t="shared" si="2"/>
        <v>609.076</v>
      </c>
      <c r="R14" s="13">
        <v>298.503</v>
      </c>
      <c r="S14" s="13">
        <v>188.574</v>
      </c>
      <c r="T14" s="13">
        <v>121.999</v>
      </c>
      <c r="U14" s="49">
        <v>50.966</v>
      </c>
      <c r="V14" s="49">
        <f t="shared" si="3"/>
        <v>434.543</v>
      </c>
      <c r="W14" s="13">
        <v>410.001</v>
      </c>
      <c r="X14" s="13">
        <v>9.151</v>
      </c>
      <c r="Y14" s="13">
        <v>15.391</v>
      </c>
      <c r="Z14" s="49">
        <v>9.354</v>
      </c>
      <c r="AA14" s="49">
        <f t="shared" si="4"/>
        <v>392.43600000000004</v>
      </c>
      <c r="AB14" s="13">
        <v>239.882</v>
      </c>
      <c r="AC14" s="13">
        <v>152.554</v>
      </c>
      <c r="AD14" s="13">
        <v>0</v>
      </c>
      <c r="AE14" s="13">
        <v>0</v>
      </c>
      <c r="AF14" s="49">
        <v>103.522</v>
      </c>
      <c r="AG14" s="49">
        <v>0</v>
      </c>
      <c r="AH14" s="49">
        <v>177.548</v>
      </c>
      <c r="AI14" s="49">
        <v>27.953</v>
      </c>
      <c r="AJ14" s="49">
        <v>141.209</v>
      </c>
      <c r="AK14" s="49">
        <v>150.02</v>
      </c>
      <c r="AL14" s="49">
        <v>3.767</v>
      </c>
      <c r="AM14" s="14">
        <f t="shared" si="5"/>
        <v>3340.74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8"/>
      <c r="ED14" s="18"/>
      <c r="EE14" s="18"/>
      <c r="EF14" s="18"/>
      <c r="EG14" s="18"/>
      <c r="EH14" s="18"/>
      <c r="EI14" s="18"/>
      <c r="EJ14" s="18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</row>
    <row r="15" spans="1:159" s="19" customFormat="1" ht="15">
      <c r="A15" s="22">
        <v>31593</v>
      </c>
      <c r="B15" s="49">
        <f t="shared" si="0"/>
        <v>369.298</v>
      </c>
      <c r="C15" s="13">
        <f>(71412+26448+7817+20862+83423+9795+108599)/1000</f>
        <v>328.356</v>
      </c>
      <c r="D15" s="13">
        <f>(30159+6951)/1000</f>
        <v>37.11</v>
      </c>
      <c r="E15" s="13">
        <v>3.832</v>
      </c>
      <c r="F15" s="49">
        <v>7.605</v>
      </c>
      <c r="G15" s="49">
        <f t="shared" si="1"/>
        <v>732.0350000000001</v>
      </c>
      <c r="H15" s="13">
        <v>64.888</v>
      </c>
      <c r="I15" s="13">
        <f>(126313+9670)/1000</f>
        <v>135.983</v>
      </c>
      <c r="J15" s="13">
        <v>40.729</v>
      </c>
      <c r="K15" s="13">
        <v>95.742</v>
      </c>
      <c r="L15" s="13">
        <v>53.505</v>
      </c>
      <c r="M15" s="13">
        <v>57.45</v>
      </c>
      <c r="N15" s="13">
        <v>29.083</v>
      </c>
      <c r="O15" s="13">
        <v>37.056</v>
      </c>
      <c r="P15" s="13">
        <v>217.599</v>
      </c>
      <c r="Q15" s="49">
        <f t="shared" si="2"/>
        <v>549.019</v>
      </c>
      <c r="R15" s="13">
        <v>276.68</v>
      </c>
      <c r="S15" s="13">
        <v>150.53</v>
      </c>
      <c r="T15" s="13">
        <v>121.809</v>
      </c>
      <c r="U15" s="49">
        <v>50.465</v>
      </c>
      <c r="V15" s="49">
        <f t="shared" si="3"/>
        <v>425.771</v>
      </c>
      <c r="W15" s="13">
        <v>390.858</v>
      </c>
      <c r="X15" s="13">
        <v>10.069</v>
      </c>
      <c r="Y15" s="13">
        <v>24.844</v>
      </c>
      <c r="Z15" s="49">
        <v>8.905</v>
      </c>
      <c r="AA15" s="49">
        <f t="shared" si="4"/>
        <v>604.736</v>
      </c>
      <c r="AB15" s="13">
        <v>507.034</v>
      </c>
      <c r="AC15" s="13">
        <v>97.702</v>
      </c>
      <c r="AD15" s="13">
        <v>0</v>
      </c>
      <c r="AE15" s="13">
        <v>0</v>
      </c>
      <c r="AF15" s="49">
        <v>107.661</v>
      </c>
      <c r="AG15" s="49">
        <v>0</v>
      </c>
      <c r="AH15" s="49">
        <v>179.84</v>
      </c>
      <c r="AI15" s="49">
        <v>28.811</v>
      </c>
      <c r="AJ15" s="49">
        <v>161.944</v>
      </c>
      <c r="AK15" s="49">
        <v>152.355</v>
      </c>
      <c r="AL15" s="49">
        <v>4.699</v>
      </c>
      <c r="AM15" s="14">
        <f t="shared" si="5"/>
        <v>3383.1440000000007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8"/>
      <c r="ED15" s="18"/>
      <c r="EE15" s="18"/>
      <c r="EF15" s="18"/>
      <c r="EG15" s="18"/>
      <c r="EH15" s="18"/>
      <c r="EI15" s="18"/>
      <c r="EJ15" s="18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</row>
    <row r="16" spans="1:159" s="19" customFormat="1" ht="15">
      <c r="A16" s="22">
        <v>31624</v>
      </c>
      <c r="B16" s="49">
        <f t="shared" si="0"/>
        <v>367.005</v>
      </c>
      <c r="C16" s="13">
        <f>(71368+28051+7321+22058+80133+13943+103102)/1000</f>
        <v>325.976</v>
      </c>
      <c r="D16" s="13">
        <f>(28767+8532)/1000</f>
        <v>37.299</v>
      </c>
      <c r="E16" s="13">
        <v>3.73</v>
      </c>
      <c r="F16" s="49">
        <v>10.435</v>
      </c>
      <c r="G16" s="49">
        <f t="shared" si="1"/>
        <v>765.5509999999999</v>
      </c>
      <c r="H16" s="13">
        <v>66.076</v>
      </c>
      <c r="I16" s="13">
        <f>(135798+10102)/1000</f>
        <v>145.9</v>
      </c>
      <c r="J16" s="13">
        <v>41.274</v>
      </c>
      <c r="K16" s="13">
        <v>96.615</v>
      </c>
      <c r="L16" s="13">
        <v>54.248</v>
      </c>
      <c r="M16" s="13">
        <v>59.954</v>
      </c>
      <c r="N16" s="13">
        <v>26.989</v>
      </c>
      <c r="O16" s="13">
        <v>32.96</v>
      </c>
      <c r="P16" s="13">
        <v>241.535</v>
      </c>
      <c r="Q16" s="49">
        <f t="shared" si="2"/>
        <v>548.575</v>
      </c>
      <c r="R16" s="13">
        <v>283.615</v>
      </c>
      <c r="S16" s="13">
        <v>140.336</v>
      </c>
      <c r="T16" s="13">
        <v>124.624</v>
      </c>
      <c r="U16" s="49">
        <v>96.783</v>
      </c>
      <c r="V16" s="49">
        <f t="shared" si="3"/>
        <v>420.311</v>
      </c>
      <c r="W16" s="13">
        <v>388.676</v>
      </c>
      <c r="X16" s="13">
        <v>9.627</v>
      </c>
      <c r="Y16" s="13">
        <v>22.008</v>
      </c>
      <c r="Z16" s="49">
        <v>9.278</v>
      </c>
      <c r="AA16" s="49">
        <f t="shared" si="4"/>
        <v>604.797</v>
      </c>
      <c r="AB16" s="13">
        <v>505.104</v>
      </c>
      <c r="AC16" s="13">
        <v>99.693</v>
      </c>
      <c r="AD16" s="13">
        <v>0</v>
      </c>
      <c r="AE16" s="13">
        <v>0</v>
      </c>
      <c r="AF16" s="49">
        <v>108.83</v>
      </c>
      <c r="AG16" s="49">
        <v>0</v>
      </c>
      <c r="AH16" s="49">
        <v>197.753</v>
      </c>
      <c r="AI16" s="49">
        <v>29.723</v>
      </c>
      <c r="AJ16" s="49">
        <v>147.685</v>
      </c>
      <c r="AK16" s="49">
        <v>156.369</v>
      </c>
      <c r="AL16" s="49">
        <v>4.627</v>
      </c>
      <c r="AM16" s="14">
        <f t="shared" si="5"/>
        <v>3467.7219999999998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8"/>
      <c r="ED16" s="18"/>
      <c r="EE16" s="18"/>
      <c r="EF16" s="18"/>
      <c r="EG16" s="18"/>
      <c r="EH16" s="18"/>
      <c r="EI16" s="18"/>
      <c r="EJ16" s="18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</row>
    <row r="17" spans="1:159" s="19" customFormat="1" ht="15">
      <c r="A17" s="22">
        <v>31655</v>
      </c>
      <c r="B17" s="49">
        <f t="shared" si="0"/>
        <v>367.606</v>
      </c>
      <c r="C17" s="13">
        <f>(70474+31448+7480+20166+84937+10213+95278)/1000</f>
        <v>319.996</v>
      </c>
      <c r="D17" s="13">
        <f>(32411+12137)/1000</f>
        <v>44.548</v>
      </c>
      <c r="E17" s="13">
        <v>3.062</v>
      </c>
      <c r="F17" s="49">
        <v>11.279</v>
      </c>
      <c r="G17" s="49">
        <f t="shared" si="1"/>
        <v>791.558</v>
      </c>
      <c r="H17" s="13">
        <v>61.647</v>
      </c>
      <c r="I17" s="13">
        <f>(139919+9369)/1000</f>
        <v>149.288</v>
      </c>
      <c r="J17" s="13">
        <v>40.831</v>
      </c>
      <c r="K17" s="13">
        <v>97.009</v>
      </c>
      <c r="L17" s="13">
        <v>52.915</v>
      </c>
      <c r="M17" s="13">
        <v>63.613</v>
      </c>
      <c r="N17" s="13">
        <v>29.978</v>
      </c>
      <c r="O17" s="13">
        <v>35.496</v>
      </c>
      <c r="P17" s="13">
        <v>260.781</v>
      </c>
      <c r="Q17" s="49">
        <f t="shared" si="2"/>
        <v>563.399</v>
      </c>
      <c r="R17" s="13">
        <v>286.862</v>
      </c>
      <c r="S17" s="13">
        <v>148.826</v>
      </c>
      <c r="T17" s="13">
        <v>127.711</v>
      </c>
      <c r="U17" s="49">
        <v>95.068</v>
      </c>
      <c r="V17" s="49">
        <f t="shared" si="3"/>
        <v>423.58799999999997</v>
      </c>
      <c r="W17" s="13">
        <v>391.433</v>
      </c>
      <c r="X17" s="13">
        <v>9.508</v>
      </c>
      <c r="Y17" s="13">
        <v>22.647</v>
      </c>
      <c r="Z17" s="49">
        <v>9.189</v>
      </c>
      <c r="AA17" s="49">
        <f t="shared" si="4"/>
        <v>618.8109999999999</v>
      </c>
      <c r="AB17" s="13">
        <v>514.655</v>
      </c>
      <c r="AC17" s="13">
        <v>104.156</v>
      </c>
      <c r="AD17" s="13">
        <v>0</v>
      </c>
      <c r="AE17" s="13">
        <v>0</v>
      </c>
      <c r="AF17" s="49">
        <v>111.209</v>
      </c>
      <c r="AG17" s="49">
        <v>0</v>
      </c>
      <c r="AH17" s="49">
        <v>200.433</v>
      </c>
      <c r="AI17" s="49">
        <v>30.693</v>
      </c>
      <c r="AJ17" s="49">
        <v>142.504</v>
      </c>
      <c r="AK17" s="49">
        <v>157.43</v>
      </c>
      <c r="AL17" s="49">
        <v>4.291</v>
      </c>
      <c r="AM17" s="14">
        <f t="shared" si="5"/>
        <v>3527.0579999999995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8"/>
      <c r="ED17" s="18"/>
      <c r="EE17" s="18"/>
      <c r="EF17" s="18"/>
      <c r="EG17" s="18"/>
      <c r="EH17" s="18"/>
      <c r="EI17" s="18"/>
      <c r="EJ17" s="18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</row>
    <row r="18" spans="1:159" s="19" customFormat="1" ht="15">
      <c r="A18" s="22">
        <v>31685</v>
      </c>
      <c r="B18" s="49">
        <f t="shared" si="0"/>
        <v>373.581</v>
      </c>
      <c r="C18" s="13">
        <f>(71310+31593+8484+18180+83096+10565+99492)/1000</f>
        <v>322.72</v>
      </c>
      <c r="D18" s="13">
        <f>(35755+11396)/1000</f>
        <v>47.151</v>
      </c>
      <c r="E18" s="13">
        <v>3.71</v>
      </c>
      <c r="F18" s="49">
        <v>10.617</v>
      </c>
      <c r="G18" s="49">
        <f t="shared" si="1"/>
        <v>782.6949999999999</v>
      </c>
      <c r="H18" s="13">
        <v>58.778</v>
      </c>
      <c r="I18" s="13">
        <f>(141733+10283)/1000</f>
        <v>152.016</v>
      </c>
      <c r="J18" s="13">
        <v>43.651</v>
      </c>
      <c r="K18" s="13">
        <v>102.28</v>
      </c>
      <c r="L18" s="13">
        <v>50.801</v>
      </c>
      <c r="M18" s="13">
        <v>62.862</v>
      </c>
      <c r="N18" s="13">
        <v>31.594</v>
      </c>
      <c r="O18" s="13">
        <v>33.062</v>
      </c>
      <c r="P18" s="13">
        <v>247.651</v>
      </c>
      <c r="Q18" s="49">
        <f t="shared" si="2"/>
        <v>579.39</v>
      </c>
      <c r="R18" s="13">
        <v>291.446</v>
      </c>
      <c r="S18" s="13">
        <v>154.082</v>
      </c>
      <c r="T18" s="13">
        <v>133.862</v>
      </c>
      <c r="U18" s="49">
        <v>87.647</v>
      </c>
      <c r="V18" s="49">
        <f t="shared" si="3"/>
        <v>420.064</v>
      </c>
      <c r="W18" s="13">
        <v>387.203</v>
      </c>
      <c r="X18" s="13">
        <v>12.487</v>
      </c>
      <c r="Y18" s="13">
        <v>20.374</v>
      </c>
      <c r="Z18" s="49">
        <v>8.472</v>
      </c>
      <c r="AA18" s="49">
        <f t="shared" si="4"/>
        <v>632.647</v>
      </c>
      <c r="AB18" s="13">
        <v>518.764</v>
      </c>
      <c r="AC18" s="13">
        <v>113.883</v>
      </c>
      <c r="AD18" s="13">
        <v>0</v>
      </c>
      <c r="AE18" s="13">
        <v>0</v>
      </c>
      <c r="AF18" s="49">
        <v>109.318</v>
      </c>
      <c r="AG18" s="49">
        <v>0</v>
      </c>
      <c r="AH18" s="49">
        <v>218.078</v>
      </c>
      <c r="AI18" s="49">
        <v>32.364</v>
      </c>
      <c r="AJ18" s="49">
        <v>135.191</v>
      </c>
      <c r="AK18" s="49">
        <v>157.179</v>
      </c>
      <c r="AL18" s="49">
        <v>5.31</v>
      </c>
      <c r="AM18" s="14">
        <f t="shared" si="5"/>
        <v>3552.553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8"/>
      <c r="ED18" s="18"/>
      <c r="EE18" s="18"/>
      <c r="EF18" s="18"/>
      <c r="EG18" s="18"/>
      <c r="EH18" s="18"/>
      <c r="EI18" s="18"/>
      <c r="EJ18" s="18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</row>
    <row r="19" spans="1:159" s="19" customFormat="1" ht="15">
      <c r="A19" s="22">
        <v>31716</v>
      </c>
      <c r="B19" s="49">
        <f t="shared" si="0"/>
        <v>376.836</v>
      </c>
      <c r="C19" s="13">
        <f>(69849+32009+7703+20912+84349+12036+107851)/1000</f>
        <v>334.709</v>
      </c>
      <c r="D19" s="13">
        <f>(29879+8554)/1000</f>
        <v>38.433</v>
      </c>
      <c r="E19" s="13">
        <v>3.694</v>
      </c>
      <c r="F19" s="49">
        <v>10.591</v>
      </c>
      <c r="G19" s="49">
        <f t="shared" si="1"/>
        <v>677.341</v>
      </c>
      <c r="H19" s="13">
        <v>56.579</v>
      </c>
      <c r="I19" s="13">
        <f>(142686+11163)/1000</f>
        <v>153.849</v>
      </c>
      <c r="J19" s="13">
        <v>44.436</v>
      </c>
      <c r="K19" s="13">
        <v>2.274</v>
      </c>
      <c r="L19" s="13">
        <v>51.957</v>
      </c>
      <c r="M19" s="13">
        <v>62.81</v>
      </c>
      <c r="N19" s="13">
        <v>29.827</v>
      </c>
      <c r="O19" s="13">
        <v>35.276</v>
      </c>
      <c r="P19" s="13">
        <v>240.333</v>
      </c>
      <c r="Q19" s="49">
        <f t="shared" si="2"/>
        <v>589.1320000000001</v>
      </c>
      <c r="R19" s="13">
        <v>296.11</v>
      </c>
      <c r="S19" s="13">
        <v>156.97</v>
      </c>
      <c r="T19" s="13">
        <v>136.052</v>
      </c>
      <c r="U19" s="49">
        <v>64.268</v>
      </c>
      <c r="V19" s="49">
        <f t="shared" si="3"/>
        <v>425.904</v>
      </c>
      <c r="W19" s="13">
        <v>391.694</v>
      </c>
      <c r="X19" s="13">
        <v>12.815</v>
      </c>
      <c r="Y19" s="13">
        <v>21.395</v>
      </c>
      <c r="Z19" s="49">
        <v>8.394</v>
      </c>
      <c r="AA19" s="49">
        <f t="shared" si="4"/>
        <v>643.55</v>
      </c>
      <c r="AB19" s="13">
        <v>525.958</v>
      </c>
      <c r="AC19" s="13">
        <v>117.592</v>
      </c>
      <c r="AD19" s="13">
        <v>0</v>
      </c>
      <c r="AE19" s="13">
        <v>0</v>
      </c>
      <c r="AF19" s="49">
        <v>110.896</v>
      </c>
      <c r="AG19" s="49">
        <v>0</v>
      </c>
      <c r="AH19" s="49">
        <v>221.459</v>
      </c>
      <c r="AI19" s="49">
        <v>34.665</v>
      </c>
      <c r="AJ19" s="49">
        <v>141.837</v>
      </c>
      <c r="AK19" s="49">
        <v>159.991</v>
      </c>
      <c r="AL19" s="49">
        <v>3.676</v>
      </c>
      <c r="AM19" s="14">
        <f t="shared" si="5"/>
        <v>3468.5399999999995</v>
      </c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8"/>
      <c r="ED19" s="18"/>
      <c r="EE19" s="18"/>
      <c r="EF19" s="18"/>
      <c r="EG19" s="18"/>
      <c r="EH19" s="18"/>
      <c r="EI19" s="18"/>
      <c r="EJ19" s="18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</row>
    <row r="20" spans="1:159" s="19" customFormat="1" ht="15">
      <c r="A20" s="22">
        <v>31746</v>
      </c>
      <c r="B20" s="49">
        <f t="shared" si="0"/>
        <v>398.338</v>
      </c>
      <c r="C20" s="13">
        <f>(67796+33879+7480+24322+87938+13067+117851)/1000</f>
        <v>352.333</v>
      </c>
      <c r="D20" s="13">
        <f>(32021+10383)/1000</f>
        <v>42.404</v>
      </c>
      <c r="E20" s="13">
        <v>3.601</v>
      </c>
      <c r="F20" s="49">
        <v>11.086</v>
      </c>
      <c r="G20" s="49">
        <f t="shared" si="1"/>
        <v>825.2749999999999</v>
      </c>
      <c r="H20" s="13">
        <v>59.002</v>
      </c>
      <c r="I20" s="13">
        <f>(151435+10823)/1000</f>
        <v>162.258</v>
      </c>
      <c r="J20" s="13">
        <v>46.224</v>
      </c>
      <c r="K20" s="13">
        <v>98.828</v>
      </c>
      <c r="L20" s="13">
        <v>63.67</v>
      </c>
      <c r="M20" s="13">
        <v>66.436</v>
      </c>
      <c r="N20" s="13">
        <v>28.882</v>
      </c>
      <c r="O20" s="13">
        <v>35.193</v>
      </c>
      <c r="P20" s="13">
        <v>264.782</v>
      </c>
      <c r="Q20" s="49">
        <f t="shared" si="2"/>
        <v>615.5</v>
      </c>
      <c r="R20" s="13">
        <v>302.589</v>
      </c>
      <c r="S20" s="13">
        <v>162.692</v>
      </c>
      <c r="T20" s="13">
        <v>150.219</v>
      </c>
      <c r="U20" s="49">
        <v>78.518</v>
      </c>
      <c r="V20" s="49">
        <f t="shared" si="3"/>
        <v>427.0319999999999</v>
      </c>
      <c r="W20" s="13">
        <v>396.965</v>
      </c>
      <c r="X20" s="13">
        <v>9.811</v>
      </c>
      <c r="Y20" s="13">
        <v>20.256</v>
      </c>
      <c r="Z20" s="49">
        <v>8.437</v>
      </c>
      <c r="AA20" s="49">
        <f t="shared" si="4"/>
        <v>650.752</v>
      </c>
      <c r="AB20" s="13">
        <v>536.351</v>
      </c>
      <c r="AC20" s="13">
        <v>114.401</v>
      </c>
      <c r="AD20" s="13">
        <v>0</v>
      </c>
      <c r="AE20" s="13">
        <v>0</v>
      </c>
      <c r="AF20" s="49">
        <v>116.701</v>
      </c>
      <c r="AG20" s="49">
        <v>0</v>
      </c>
      <c r="AH20" s="49">
        <v>228.542</v>
      </c>
      <c r="AI20" s="49">
        <v>34.797</v>
      </c>
      <c r="AJ20" s="49">
        <v>145.869</v>
      </c>
      <c r="AK20" s="49">
        <v>163.614</v>
      </c>
      <c r="AL20" s="49">
        <v>6.258</v>
      </c>
      <c r="AM20" s="14">
        <f t="shared" si="5"/>
        <v>3710.7189999999996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8"/>
      <c r="ED20" s="18"/>
      <c r="EE20" s="18"/>
      <c r="EF20" s="18"/>
      <c r="EG20" s="18"/>
      <c r="EH20" s="18"/>
      <c r="EI20" s="18"/>
      <c r="EJ20" s="18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</row>
    <row r="21" spans="1:159" s="19" customFormat="1" ht="15">
      <c r="A21" s="22">
        <v>31777</v>
      </c>
      <c r="B21" s="49">
        <f t="shared" si="0"/>
        <v>416.123</v>
      </c>
      <c r="C21" s="13">
        <f>(69822+34850+7820+27959+88157+12730+126668)/1000</f>
        <v>368.006</v>
      </c>
      <c r="D21" s="13">
        <f>(33569+9637)/1000</f>
        <v>43.206</v>
      </c>
      <c r="E21" s="13">
        <v>4.911</v>
      </c>
      <c r="F21" s="49">
        <v>9.388</v>
      </c>
      <c r="G21" s="49">
        <f t="shared" si="1"/>
        <v>822.2979999999999</v>
      </c>
      <c r="H21" s="13">
        <v>59.849</v>
      </c>
      <c r="I21" s="13">
        <f>(152088+9359)/1000</f>
        <v>161.447</v>
      </c>
      <c r="J21" s="13">
        <v>42.306</v>
      </c>
      <c r="K21" s="13">
        <v>104.948</v>
      </c>
      <c r="L21" s="13">
        <v>65.48</v>
      </c>
      <c r="M21" s="13">
        <v>61.583</v>
      </c>
      <c r="N21" s="13">
        <v>29.814</v>
      </c>
      <c r="O21" s="13">
        <v>35.043</v>
      </c>
      <c r="P21" s="13">
        <v>261.828</v>
      </c>
      <c r="Q21" s="49">
        <f t="shared" si="2"/>
        <v>636.938</v>
      </c>
      <c r="R21" s="13">
        <v>306.347</v>
      </c>
      <c r="S21" s="13">
        <v>174.414</v>
      </c>
      <c r="T21" s="13">
        <v>156.177</v>
      </c>
      <c r="U21" s="49">
        <v>74.63</v>
      </c>
      <c r="V21" s="49">
        <f t="shared" si="3"/>
        <v>446.383</v>
      </c>
      <c r="W21" s="13">
        <v>416.25</v>
      </c>
      <c r="X21" s="13">
        <v>9.962</v>
      </c>
      <c r="Y21" s="13">
        <v>20.171</v>
      </c>
      <c r="Z21" s="49">
        <v>8.266</v>
      </c>
      <c r="AA21" s="49">
        <f t="shared" si="4"/>
        <v>677.904</v>
      </c>
      <c r="AB21" s="13">
        <v>547.179</v>
      </c>
      <c r="AC21" s="13">
        <v>130.725</v>
      </c>
      <c r="AD21" s="13">
        <v>0</v>
      </c>
      <c r="AE21" s="13">
        <v>0</v>
      </c>
      <c r="AF21" s="49">
        <v>109.108</v>
      </c>
      <c r="AG21" s="49">
        <v>0</v>
      </c>
      <c r="AH21" s="49">
        <v>236.132</v>
      </c>
      <c r="AI21" s="49">
        <v>37.197</v>
      </c>
      <c r="AJ21" s="49">
        <v>161.885</v>
      </c>
      <c r="AK21" s="49">
        <v>172.685</v>
      </c>
      <c r="AL21" s="49">
        <v>12.928</v>
      </c>
      <c r="AM21" s="14">
        <f t="shared" si="5"/>
        <v>3821.8650000000002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8"/>
      <c r="ED21" s="18"/>
      <c r="EE21" s="18"/>
      <c r="EF21" s="18"/>
      <c r="EG21" s="18"/>
      <c r="EH21" s="18"/>
      <c r="EI21" s="18"/>
      <c r="EJ21" s="18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</row>
    <row r="22" spans="1:159" s="19" customFormat="1" ht="15">
      <c r="A22" s="22">
        <v>31808</v>
      </c>
      <c r="B22" s="49">
        <f t="shared" si="0"/>
        <v>423.336</v>
      </c>
      <c r="C22" s="13">
        <f>(70112+36360+7633+27270+87703+12810+127212)/1000</f>
        <v>369.1</v>
      </c>
      <c r="D22" s="13">
        <f>(38034+11153)/1000</f>
        <v>49.187</v>
      </c>
      <c r="E22" s="13">
        <v>5.049</v>
      </c>
      <c r="F22" s="49">
        <v>12.276</v>
      </c>
      <c r="G22" s="49">
        <f t="shared" si="1"/>
        <v>876.1569999999999</v>
      </c>
      <c r="H22" s="13">
        <v>60.698</v>
      </c>
      <c r="I22" s="13">
        <f>(157802+9649)/1000</f>
        <v>167.451</v>
      </c>
      <c r="J22" s="13">
        <v>41.751</v>
      </c>
      <c r="K22" s="13">
        <v>106.452</v>
      </c>
      <c r="L22" s="13">
        <v>59.474</v>
      </c>
      <c r="M22" s="13">
        <v>62.379</v>
      </c>
      <c r="N22" s="13">
        <v>29.046</v>
      </c>
      <c r="O22" s="13">
        <v>80.515</v>
      </c>
      <c r="P22" s="13">
        <v>268.391</v>
      </c>
      <c r="Q22" s="49">
        <f t="shared" si="2"/>
        <v>643.019</v>
      </c>
      <c r="R22" s="13">
        <v>313.238</v>
      </c>
      <c r="S22" s="13">
        <v>178.171</v>
      </c>
      <c r="T22" s="13">
        <v>151.61</v>
      </c>
      <c r="U22" s="49">
        <v>71.952</v>
      </c>
      <c r="V22" s="49">
        <f t="shared" si="3"/>
        <v>456.65</v>
      </c>
      <c r="W22" s="13">
        <v>420.253</v>
      </c>
      <c r="X22" s="13">
        <v>17.093</v>
      </c>
      <c r="Y22" s="13">
        <v>19.304</v>
      </c>
      <c r="Z22" s="49">
        <v>8.74</v>
      </c>
      <c r="AA22" s="49">
        <f t="shared" si="4"/>
        <v>674.075</v>
      </c>
      <c r="AB22" s="13">
        <v>525.39</v>
      </c>
      <c r="AC22" s="13">
        <v>148.685</v>
      </c>
      <c r="AD22" s="13">
        <v>0</v>
      </c>
      <c r="AE22" s="13">
        <v>0</v>
      </c>
      <c r="AF22" s="49">
        <v>116.279</v>
      </c>
      <c r="AG22" s="49">
        <v>0</v>
      </c>
      <c r="AH22" s="49">
        <v>233.37</v>
      </c>
      <c r="AI22" s="49">
        <v>36.253</v>
      </c>
      <c r="AJ22" s="49">
        <v>164.345</v>
      </c>
      <c r="AK22" s="49">
        <v>167.776</v>
      </c>
      <c r="AL22" s="49">
        <v>13.023</v>
      </c>
      <c r="AM22" s="14">
        <f t="shared" si="5"/>
        <v>3897.2509999999997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8"/>
      <c r="ED22" s="18"/>
      <c r="EE22" s="18"/>
      <c r="EF22" s="18"/>
      <c r="EG22" s="18"/>
      <c r="EH22" s="18"/>
      <c r="EI22" s="18"/>
      <c r="EJ22" s="18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</row>
    <row r="23" spans="1:159" s="19" customFormat="1" ht="15">
      <c r="A23" s="22">
        <v>31836</v>
      </c>
      <c r="B23" s="49">
        <f t="shared" si="0"/>
        <v>425.47</v>
      </c>
      <c r="C23" s="13">
        <f>(70291+41458+12617+33446+88682+16716+124794)/1000</f>
        <v>388.004</v>
      </c>
      <c r="D23" s="13">
        <f>(25333+9469)/1000</f>
        <v>34.802</v>
      </c>
      <c r="E23" s="13">
        <v>2.664</v>
      </c>
      <c r="F23" s="49">
        <v>13.63</v>
      </c>
      <c r="G23" s="49">
        <f t="shared" si="1"/>
        <v>852.9380000000001</v>
      </c>
      <c r="H23" s="13">
        <v>65.295</v>
      </c>
      <c r="I23" s="13">
        <f>(155264+13313)/1000</f>
        <v>168.577</v>
      </c>
      <c r="J23" s="13">
        <v>40.779</v>
      </c>
      <c r="K23" s="13">
        <v>110.548</v>
      </c>
      <c r="L23" s="13">
        <v>60.179</v>
      </c>
      <c r="M23" s="13">
        <v>69.541</v>
      </c>
      <c r="N23" s="13">
        <v>31.282</v>
      </c>
      <c r="O23" s="13">
        <v>39.248</v>
      </c>
      <c r="P23" s="13">
        <v>267.489</v>
      </c>
      <c r="Q23" s="49">
        <f t="shared" si="2"/>
        <v>675.199</v>
      </c>
      <c r="R23" s="13">
        <v>330.227</v>
      </c>
      <c r="S23" s="13">
        <v>190.789</v>
      </c>
      <c r="T23" s="13">
        <v>154.183</v>
      </c>
      <c r="U23" s="49">
        <v>79.418</v>
      </c>
      <c r="V23" s="49">
        <f t="shared" si="3"/>
        <v>466.09</v>
      </c>
      <c r="W23" s="13">
        <v>428.976</v>
      </c>
      <c r="X23" s="13">
        <v>17.262</v>
      </c>
      <c r="Y23" s="13">
        <v>19.852</v>
      </c>
      <c r="Z23" s="49">
        <v>10.457</v>
      </c>
      <c r="AA23" s="49">
        <f t="shared" si="4"/>
        <v>691.502</v>
      </c>
      <c r="AB23" s="13">
        <v>529.952</v>
      </c>
      <c r="AC23" s="13">
        <v>161.55</v>
      </c>
      <c r="AD23" s="13">
        <v>0</v>
      </c>
      <c r="AE23" s="13">
        <v>0</v>
      </c>
      <c r="AF23" s="49">
        <v>116.694</v>
      </c>
      <c r="AG23" s="49">
        <v>0</v>
      </c>
      <c r="AH23" s="49">
        <v>237.696</v>
      </c>
      <c r="AI23" s="49">
        <v>35.516</v>
      </c>
      <c r="AJ23" s="49">
        <v>152.115</v>
      </c>
      <c r="AK23" s="49">
        <v>164.28</v>
      </c>
      <c r="AL23" s="49">
        <v>12.129</v>
      </c>
      <c r="AM23" s="14">
        <f t="shared" si="5"/>
        <v>3933.1340000000005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8"/>
      <c r="ED23" s="18"/>
      <c r="EE23" s="18"/>
      <c r="EF23" s="18"/>
      <c r="EG23" s="18"/>
      <c r="EH23" s="18"/>
      <c r="EI23" s="18"/>
      <c r="EJ23" s="18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</row>
    <row r="24" spans="1:159" s="19" customFormat="1" ht="15">
      <c r="A24" s="22">
        <v>31867</v>
      </c>
      <c r="B24" s="49">
        <f t="shared" si="0"/>
        <v>431.64200000000005</v>
      </c>
      <c r="C24" s="13">
        <f>(68191+42759+13778+23228+81975+20323+133916)/1000</f>
        <v>384.17</v>
      </c>
      <c r="D24" s="13">
        <f>(35067+10048)/1000</f>
        <v>45.115</v>
      </c>
      <c r="E24" s="13">
        <v>2.357</v>
      </c>
      <c r="F24" s="49">
        <v>11.227</v>
      </c>
      <c r="G24" s="49">
        <f t="shared" si="1"/>
        <v>885.361</v>
      </c>
      <c r="H24" s="13">
        <v>59.048</v>
      </c>
      <c r="I24" s="13">
        <f>(159849+13493)/1000</f>
        <v>173.342</v>
      </c>
      <c r="J24" s="13">
        <v>45.833</v>
      </c>
      <c r="K24" s="13">
        <v>115.764</v>
      </c>
      <c r="L24" s="13">
        <v>60.789</v>
      </c>
      <c r="M24" s="13">
        <v>70.343</v>
      </c>
      <c r="N24" s="13">
        <v>33.694</v>
      </c>
      <c r="O24" s="13">
        <v>46.293</v>
      </c>
      <c r="P24" s="13">
        <v>280.255</v>
      </c>
      <c r="Q24" s="49">
        <f t="shared" si="2"/>
        <v>680.696</v>
      </c>
      <c r="R24" s="13">
        <v>345.73</v>
      </c>
      <c r="S24" s="13">
        <v>171.537</v>
      </c>
      <c r="T24" s="13">
        <v>163.429</v>
      </c>
      <c r="U24" s="49">
        <v>109.056</v>
      </c>
      <c r="V24" s="49">
        <f t="shared" si="3"/>
        <v>510.349</v>
      </c>
      <c r="W24" s="13">
        <v>464.878</v>
      </c>
      <c r="X24" s="13">
        <v>26.94</v>
      </c>
      <c r="Y24" s="13">
        <v>18.531</v>
      </c>
      <c r="Z24" s="49">
        <v>4.766</v>
      </c>
      <c r="AA24" s="49">
        <f t="shared" si="4"/>
        <v>692.294</v>
      </c>
      <c r="AB24" s="13">
        <v>515.804</v>
      </c>
      <c r="AC24" s="13">
        <v>176.49</v>
      </c>
      <c r="AD24" s="13">
        <v>0</v>
      </c>
      <c r="AE24" s="13">
        <v>0</v>
      </c>
      <c r="AF24" s="49">
        <v>116.307</v>
      </c>
      <c r="AG24" s="49">
        <v>0</v>
      </c>
      <c r="AH24" s="49">
        <v>226.657</v>
      </c>
      <c r="AI24" s="49">
        <v>36.298</v>
      </c>
      <c r="AJ24" s="49">
        <v>151.104</v>
      </c>
      <c r="AK24" s="49">
        <v>167.967</v>
      </c>
      <c r="AL24" s="49">
        <v>7.086</v>
      </c>
      <c r="AM24" s="14">
        <f t="shared" si="5"/>
        <v>4030.81</v>
      </c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8"/>
      <c r="ED24" s="18"/>
      <c r="EE24" s="18"/>
      <c r="EF24" s="18"/>
      <c r="EG24" s="18"/>
      <c r="EH24" s="18"/>
      <c r="EI24" s="18"/>
      <c r="EJ24" s="18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</row>
    <row r="25" spans="1:159" s="19" customFormat="1" ht="15">
      <c r="A25" s="22">
        <v>31897</v>
      </c>
      <c r="B25" s="49">
        <f t="shared" si="0"/>
        <v>442.342</v>
      </c>
      <c r="C25" s="13">
        <f>(69732+41622+13993+23618+84429+22755+88452)/1000</f>
        <v>344.601</v>
      </c>
      <c r="D25" s="13">
        <f>(30325+12098)/1000</f>
        <v>42.423</v>
      </c>
      <c r="E25" s="13">
        <v>55.318</v>
      </c>
      <c r="F25" s="49">
        <v>13.996</v>
      </c>
      <c r="G25" s="49">
        <f t="shared" si="1"/>
        <v>919.943</v>
      </c>
      <c r="H25" s="13">
        <v>63.511</v>
      </c>
      <c r="I25" s="13">
        <f>(168553+14298)/1000</f>
        <v>182.851</v>
      </c>
      <c r="J25" s="13">
        <v>46.747</v>
      </c>
      <c r="K25" s="13">
        <v>118.191</v>
      </c>
      <c r="L25" s="13">
        <v>67.151</v>
      </c>
      <c r="M25" s="13">
        <v>69.856</v>
      </c>
      <c r="N25" s="13">
        <v>30.881</v>
      </c>
      <c r="O25" s="13">
        <v>48.973</v>
      </c>
      <c r="P25" s="13">
        <v>291.782</v>
      </c>
      <c r="Q25" s="49">
        <f t="shared" si="2"/>
        <v>704.289</v>
      </c>
      <c r="R25" s="13">
        <v>350.716</v>
      </c>
      <c r="S25" s="13">
        <v>185.807</v>
      </c>
      <c r="T25" s="13">
        <v>167.766</v>
      </c>
      <c r="U25" s="49">
        <v>90.344</v>
      </c>
      <c r="V25" s="49">
        <f t="shared" si="3"/>
        <v>523.501</v>
      </c>
      <c r="W25" s="13">
        <v>486.071</v>
      </c>
      <c r="X25" s="13">
        <v>23.623</v>
      </c>
      <c r="Y25" s="13">
        <v>13.807</v>
      </c>
      <c r="Z25" s="49">
        <v>4.988</v>
      </c>
      <c r="AA25" s="49">
        <f t="shared" si="4"/>
        <v>700.348</v>
      </c>
      <c r="AB25" s="13">
        <v>520.754</v>
      </c>
      <c r="AC25" s="13">
        <v>179.594</v>
      </c>
      <c r="AD25" s="13">
        <v>0</v>
      </c>
      <c r="AE25" s="13">
        <v>0</v>
      </c>
      <c r="AF25" s="49">
        <v>123.444</v>
      </c>
      <c r="AG25" s="49">
        <v>0</v>
      </c>
      <c r="AH25" s="49">
        <v>231.129</v>
      </c>
      <c r="AI25" s="49">
        <v>38.977</v>
      </c>
      <c r="AJ25" s="49">
        <v>144.496</v>
      </c>
      <c r="AK25" s="49">
        <v>172.37</v>
      </c>
      <c r="AL25" s="49">
        <v>8.231</v>
      </c>
      <c r="AM25" s="14">
        <f t="shared" si="5"/>
        <v>4118.397999999999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8"/>
      <c r="ED25" s="18"/>
      <c r="EE25" s="18"/>
      <c r="EF25" s="18"/>
      <c r="EG25" s="18"/>
      <c r="EH25" s="18"/>
      <c r="EI25" s="18"/>
      <c r="EJ25" s="18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</row>
    <row r="26" spans="1:159" s="19" customFormat="1" ht="15">
      <c r="A26" s="22">
        <v>31928</v>
      </c>
      <c r="B26" s="49">
        <f t="shared" si="0"/>
        <v>408.95599999999996</v>
      </c>
      <c r="C26" s="13">
        <f>(31855+42102+14925+22502+87225+17174+81172)/1000</f>
        <v>296.955</v>
      </c>
      <c r="D26" s="13">
        <f>(37230+14710)/1000</f>
        <v>51.94</v>
      </c>
      <c r="E26" s="13">
        <v>60.061</v>
      </c>
      <c r="F26" s="49">
        <v>10.518</v>
      </c>
      <c r="G26" s="49">
        <f t="shared" si="1"/>
        <v>899.3129999999999</v>
      </c>
      <c r="H26" s="13">
        <v>38.668</v>
      </c>
      <c r="I26" s="13">
        <f>(167308+33840)/1000</f>
        <v>201.148</v>
      </c>
      <c r="J26" s="13">
        <v>43.5</v>
      </c>
      <c r="K26" s="13">
        <v>107.54</v>
      </c>
      <c r="L26" s="13">
        <v>62.013</v>
      </c>
      <c r="M26" s="13">
        <v>68.411</v>
      </c>
      <c r="N26" s="13">
        <v>26.655</v>
      </c>
      <c r="O26" s="13">
        <v>47.266</v>
      </c>
      <c r="P26" s="13">
        <v>304.112</v>
      </c>
      <c r="Q26" s="49">
        <f t="shared" si="2"/>
        <v>720.052</v>
      </c>
      <c r="R26" s="13">
        <v>344.538</v>
      </c>
      <c r="S26" s="13">
        <v>209.114</v>
      </c>
      <c r="T26" s="13">
        <v>166.4</v>
      </c>
      <c r="U26" s="49">
        <v>78.36</v>
      </c>
      <c r="V26" s="49">
        <f t="shared" si="3"/>
        <v>457.245</v>
      </c>
      <c r="W26" s="13">
        <v>419.908</v>
      </c>
      <c r="X26" s="13">
        <v>25.077</v>
      </c>
      <c r="Y26" s="13">
        <v>12.26</v>
      </c>
      <c r="Z26" s="49">
        <v>12.43</v>
      </c>
      <c r="AA26" s="49">
        <f t="shared" si="4"/>
        <v>851.379</v>
      </c>
      <c r="AB26" s="13">
        <v>666.753</v>
      </c>
      <c r="AC26" s="13">
        <v>184.626</v>
      </c>
      <c r="AD26" s="13">
        <v>0</v>
      </c>
      <c r="AE26" s="13">
        <v>0</v>
      </c>
      <c r="AF26" s="49">
        <v>120.743</v>
      </c>
      <c r="AG26" s="49">
        <v>0</v>
      </c>
      <c r="AH26" s="49">
        <v>235.89</v>
      </c>
      <c r="AI26" s="49">
        <v>36.718</v>
      </c>
      <c r="AJ26" s="49">
        <v>141.72</v>
      </c>
      <c r="AK26" s="49">
        <v>173.927</v>
      </c>
      <c r="AL26" s="49">
        <v>6.231</v>
      </c>
      <c r="AM26" s="14">
        <f t="shared" si="5"/>
        <v>4153.481999999999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8"/>
      <c r="ED26" s="18"/>
      <c r="EE26" s="18"/>
      <c r="EF26" s="18"/>
      <c r="EG26" s="18"/>
      <c r="EH26" s="18"/>
      <c r="EI26" s="18"/>
      <c r="EJ26" s="18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</row>
    <row r="27" spans="1:159" s="19" customFormat="1" ht="15">
      <c r="A27" s="22">
        <v>31958</v>
      </c>
      <c r="B27" s="49">
        <f t="shared" si="0"/>
        <v>419.775</v>
      </c>
      <c r="C27" s="13">
        <f>(31862+44030+15087+29845+87873+19335+80987)/1000</f>
        <v>309.019</v>
      </c>
      <c r="D27" s="13">
        <f>(35441+72228)/1000</f>
        <v>107.669</v>
      </c>
      <c r="E27" s="13">
        <v>3.087</v>
      </c>
      <c r="F27" s="49">
        <v>19.68</v>
      </c>
      <c r="G27" s="49">
        <f t="shared" si="1"/>
        <v>928.3739999999998</v>
      </c>
      <c r="H27" s="13">
        <v>46.286</v>
      </c>
      <c r="I27" s="13">
        <f>(175801+30802)/1000</f>
        <v>206.603</v>
      </c>
      <c r="J27" s="13">
        <v>42.905</v>
      </c>
      <c r="K27" s="13">
        <v>109.901</v>
      </c>
      <c r="L27" s="13">
        <v>67.826</v>
      </c>
      <c r="M27" s="13">
        <v>71.872</v>
      </c>
      <c r="N27" s="13">
        <v>27.169</v>
      </c>
      <c r="O27" s="13">
        <v>47.049</v>
      </c>
      <c r="P27" s="13">
        <v>308.763</v>
      </c>
      <c r="Q27" s="49">
        <f t="shared" si="2"/>
        <v>751.857</v>
      </c>
      <c r="R27" s="13">
        <v>348.497</v>
      </c>
      <c r="S27" s="13">
        <v>221.214</v>
      </c>
      <c r="T27" s="13">
        <v>182.146</v>
      </c>
      <c r="U27" s="49">
        <v>76.177</v>
      </c>
      <c r="V27" s="49">
        <f t="shared" si="3"/>
        <v>468.629</v>
      </c>
      <c r="W27" s="13">
        <v>435.925</v>
      </c>
      <c r="X27" s="13">
        <v>20.606</v>
      </c>
      <c r="Y27" s="13">
        <v>12.098</v>
      </c>
      <c r="Z27" s="49">
        <v>5.561</v>
      </c>
      <c r="AA27" s="49">
        <f t="shared" si="4"/>
        <v>880.6899999999999</v>
      </c>
      <c r="AB27" s="13">
        <v>672.679</v>
      </c>
      <c r="AC27" s="13">
        <v>208.011</v>
      </c>
      <c r="AD27" s="13">
        <v>0</v>
      </c>
      <c r="AE27" s="13">
        <v>0</v>
      </c>
      <c r="AF27" s="49">
        <v>127.055</v>
      </c>
      <c r="AG27" s="49">
        <v>0</v>
      </c>
      <c r="AH27" s="49">
        <v>244.254</v>
      </c>
      <c r="AI27" s="49">
        <v>36.665</v>
      </c>
      <c r="AJ27" s="49">
        <v>153.331</v>
      </c>
      <c r="AK27" s="49">
        <v>184.832</v>
      </c>
      <c r="AL27" s="49">
        <v>5.945</v>
      </c>
      <c r="AM27" s="14">
        <f t="shared" si="5"/>
        <v>4302.825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8"/>
      <c r="ED27" s="18"/>
      <c r="EE27" s="18"/>
      <c r="EF27" s="18"/>
      <c r="EG27" s="18"/>
      <c r="EH27" s="18"/>
      <c r="EI27" s="18"/>
      <c r="EJ27" s="18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</row>
    <row r="28" spans="1:159" s="19" customFormat="1" ht="15">
      <c r="A28" s="22">
        <v>31989</v>
      </c>
      <c r="B28" s="49">
        <f t="shared" si="0"/>
        <v>435.68600000000004</v>
      </c>
      <c r="C28" s="13">
        <f>(34323+43178+14956+29613+93546+18891+141391)/1000</f>
        <v>375.898</v>
      </c>
      <c r="D28" s="13">
        <f>(39143+17743)/1000</f>
        <v>56.886</v>
      </c>
      <c r="E28" s="13">
        <v>2.902</v>
      </c>
      <c r="F28" s="49">
        <v>27.483</v>
      </c>
      <c r="G28" s="49">
        <f t="shared" si="1"/>
        <v>970.145</v>
      </c>
      <c r="H28" s="13">
        <v>44.928</v>
      </c>
      <c r="I28" s="13">
        <f>(174937+34823)/1000</f>
        <v>209.76</v>
      </c>
      <c r="J28" s="13">
        <v>47.161</v>
      </c>
      <c r="K28" s="13">
        <v>108.369</v>
      </c>
      <c r="L28" s="13">
        <v>65.577</v>
      </c>
      <c r="M28" s="13">
        <v>71.265</v>
      </c>
      <c r="N28" s="13">
        <v>36.216</v>
      </c>
      <c r="O28" s="13">
        <v>59.707</v>
      </c>
      <c r="P28" s="13">
        <v>327.162</v>
      </c>
      <c r="Q28" s="49">
        <f t="shared" si="2"/>
        <v>769.414</v>
      </c>
      <c r="R28" s="13">
        <v>359.272</v>
      </c>
      <c r="S28" s="13">
        <v>234.885</v>
      </c>
      <c r="T28" s="13">
        <v>175.257</v>
      </c>
      <c r="U28" s="49">
        <v>64.001</v>
      </c>
      <c r="V28" s="49">
        <f t="shared" si="3"/>
        <v>493.643</v>
      </c>
      <c r="W28" s="13">
        <v>461.298</v>
      </c>
      <c r="X28" s="13">
        <v>20.554</v>
      </c>
      <c r="Y28" s="13">
        <v>11.791</v>
      </c>
      <c r="Z28" s="49">
        <v>6.47</v>
      </c>
      <c r="AA28" s="49">
        <f t="shared" si="4"/>
        <v>862.3420000000001</v>
      </c>
      <c r="AB28" s="13">
        <v>651.619</v>
      </c>
      <c r="AC28" s="13">
        <v>210.723</v>
      </c>
      <c r="AD28" s="13">
        <v>0</v>
      </c>
      <c r="AE28" s="13">
        <v>0</v>
      </c>
      <c r="AF28" s="49">
        <v>136.589</v>
      </c>
      <c r="AG28" s="49">
        <v>0</v>
      </c>
      <c r="AH28" s="49">
        <v>254.092</v>
      </c>
      <c r="AI28" s="49">
        <v>38.039</v>
      </c>
      <c r="AJ28" s="49">
        <v>156.853</v>
      </c>
      <c r="AK28" s="49">
        <v>195.497</v>
      </c>
      <c r="AL28" s="49">
        <v>7.516</v>
      </c>
      <c r="AM28" s="14">
        <f t="shared" si="5"/>
        <v>4417.77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8"/>
      <c r="ED28" s="18"/>
      <c r="EE28" s="18"/>
      <c r="EF28" s="18"/>
      <c r="EG28" s="18"/>
      <c r="EH28" s="18"/>
      <c r="EI28" s="18"/>
      <c r="EJ28" s="18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</row>
    <row r="29" spans="1:159" s="19" customFormat="1" ht="15">
      <c r="A29" s="22">
        <v>32020</v>
      </c>
      <c r="B29" s="49">
        <f t="shared" si="0"/>
        <v>437.01</v>
      </c>
      <c r="C29" s="13">
        <f>(34323+43769+13746+27760+97222+23691+141065)/1000</f>
        <v>381.576</v>
      </c>
      <c r="D29" s="13">
        <f>(31171+21183)/1000</f>
        <v>52.354</v>
      </c>
      <c r="E29" s="13">
        <v>3.08</v>
      </c>
      <c r="F29" s="49">
        <v>28.363</v>
      </c>
      <c r="G29" s="49">
        <f t="shared" si="1"/>
        <v>949.0619999999999</v>
      </c>
      <c r="H29" s="13">
        <v>48.121</v>
      </c>
      <c r="I29" s="13">
        <f>(180818+33208)/1000</f>
        <v>214.026</v>
      </c>
      <c r="J29" s="13">
        <v>43.598</v>
      </c>
      <c r="K29" s="13">
        <v>110.756</v>
      </c>
      <c r="L29" s="13">
        <v>66.783</v>
      </c>
      <c r="M29" s="13">
        <v>70.9</v>
      </c>
      <c r="N29" s="13">
        <v>35.876</v>
      </c>
      <c r="O29" s="13">
        <v>51.362</v>
      </c>
      <c r="P29" s="13">
        <v>307.64</v>
      </c>
      <c r="Q29" s="49">
        <f t="shared" si="2"/>
        <v>763.6779999999999</v>
      </c>
      <c r="R29" s="13">
        <v>356.532</v>
      </c>
      <c r="S29" s="13">
        <v>231.414</v>
      </c>
      <c r="T29" s="13">
        <v>175.732</v>
      </c>
      <c r="U29" s="49">
        <v>56.594</v>
      </c>
      <c r="V29" s="49">
        <f t="shared" si="3"/>
        <v>500.42900000000003</v>
      </c>
      <c r="W29" s="13">
        <v>461.997</v>
      </c>
      <c r="X29" s="13">
        <v>22.189</v>
      </c>
      <c r="Y29" s="13">
        <v>16.243</v>
      </c>
      <c r="Z29" s="49">
        <v>4.961</v>
      </c>
      <c r="AA29" s="49">
        <f t="shared" si="4"/>
        <v>865.9269999999999</v>
      </c>
      <c r="AB29" s="13">
        <v>656.213</v>
      </c>
      <c r="AC29" s="13">
        <v>209.714</v>
      </c>
      <c r="AD29" s="13">
        <v>0</v>
      </c>
      <c r="AE29" s="13">
        <v>0</v>
      </c>
      <c r="AF29" s="49">
        <v>135.839</v>
      </c>
      <c r="AG29" s="49">
        <v>0</v>
      </c>
      <c r="AH29" s="49">
        <v>254.758</v>
      </c>
      <c r="AI29" s="49">
        <v>38.08</v>
      </c>
      <c r="AJ29" s="49">
        <v>163.193</v>
      </c>
      <c r="AK29" s="49">
        <v>199.924</v>
      </c>
      <c r="AL29" s="49">
        <v>9.748</v>
      </c>
      <c r="AM29" s="14">
        <f t="shared" si="5"/>
        <v>4407.565999999999</v>
      </c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8"/>
      <c r="ED29" s="18"/>
      <c r="EE29" s="18"/>
      <c r="EF29" s="18"/>
      <c r="EG29" s="18"/>
      <c r="EH29" s="18"/>
      <c r="EI29" s="18"/>
      <c r="EJ29" s="18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</row>
    <row r="30" spans="1:159" s="19" customFormat="1" ht="15">
      <c r="A30" s="22">
        <v>32050</v>
      </c>
      <c r="B30" s="49">
        <f t="shared" si="0"/>
        <v>444.00600000000003</v>
      </c>
      <c r="C30" s="13">
        <f>(36627+40721+13993+31958+99625+20517+149506)/1000</f>
        <v>392.947</v>
      </c>
      <c r="D30" s="13">
        <f>(31987+16132)/1000</f>
        <v>48.119</v>
      </c>
      <c r="E30" s="13">
        <v>2.94</v>
      </c>
      <c r="F30" s="49">
        <v>28.491</v>
      </c>
      <c r="G30" s="49">
        <f t="shared" si="1"/>
        <v>965.756</v>
      </c>
      <c r="H30" s="13">
        <v>31.119</v>
      </c>
      <c r="I30" s="13">
        <f>(192274+35977)/1000</f>
        <v>228.251</v>
      </c>
      <c r="J30" s="13">
        <v>40.482</v>
      </c>
      <c r="K30" s="13">
        <v>111.577</v>
      </c>
      <c r="L30" s="13">
        <v>70.053</v>
      </c>
      <c r="M30" s="13">
        <v>71.621</v>
      </c>
      <c r="N30" s="13">
        <v>30.864</v>
      </c>
      <c r="O30" s="13">
        <v>60.867</v>
      </c>
      <c r="P30" s="13">
        <v>320.922</v>
      </c>
      <c r="Q30" s="49">
        <f t="shared" si="2"/>
        <v>790.163</v>
      </c>
      <c r="R30" s="13">
        <v>368.062</v>
      </c>
      <c r="S30" s="13">
        <v>248.038</v>
      </c>
      <c r="T30" s="13">
        <v>174.063</v>
      </c>
      <c r="U30" s="49">
        <v>70.948</v>
      </c>
      <c r="V30" s="49">
        <f t="shared" si="3"/>
        <v>534.806</v>
      </c>
      <c r="W30" s="13">
        <v>498.592</v>
      </c>
      <c r="X30" s="13">
        <v>25.056</v>
      </c>
      <c r="Y30" s="13">
        <v>11.158</v>
      </c>
      <c r="Z30" s="49">
        <v>4.807</v>
      </c>
      <c r="AA30" s="49">
        <f t="shared" si="4"/>
        <v>878.295</v>
      </c>
      <c r="AB30" s="13">
        <v>660.901</v>
      </c>
      <c r="AC30" s="13">
        <v>217.394</v>
      </c>
      <c r="AD30" s="13">
        <v>0</v>
      </c>
      <c r="AE30" s="13">
        <v>0</v>
      </c>
      <c r="AF30" s="49">
        <v>145.178</v>
      </c>
      <c r="AG30" s="49">
        <v>0</v>
      </c>
      <c r="AH30" s="49">
        <v>266.521</v>
      </c>
      <c r="AI30" s="49">
        <v>36.455</v>
      </c>
      <c r="AJ30" s="49">
        <v>165.994</v>
      </c>
      <c r="AK30" s="49">
        <v>204.544</v>
      </c>
      <c r="AL30" s="49">
        <v>12.266</v>
      </c>
      <c r="AM30" s="14">
        <f t="shared" si="5"/>
        <v>4548.229999999999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8"/>
      <c r="ED30" s="18"/>
      <c r="EE30" s="18"/>
      <c r="EF30" s="18"/>
      <c r="EG30" s="18"/>
      <c r="EH30" s="18"/>
      <c r="EI30" s="18"/>
      <c r="EJ30" s="18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</row>
    <row r="31" spans="1:159" s="19" customFormat="1" ht="15">
      <c r="A31" s="22">
        <v>32081</v>
      </c>
      <c r="B31" s="49">
        <f t="shared" si="0"/>
        <v>460.61199999999997</v>
      </c>
      <c r="C31" s="13">
        <f>(36181+44527+14033+27937+107801+18881+154422)/1000</f>
        <v>403.782</v>
      </c>
      <c r="D31" s="13">
        <f>(38357+15343)/1000</f>
        <v>53.7</v>
      </c>
      <c r="E31" s="13">
        <v>3.13</v>
      </c>
      <c r="F31" s="49">
        <v>12.275</v>
      </c>
      <c r="G31" s="49">
        <f t="shared" si="1"/>
        <v>975.1089999999999</v>
      </c>
      <c r="H31" s="13">
        <v>33.527</v>
      </c>
      <c r="I31" s="13">
        <f>(192359+30569)/1000</f>
        <v>222.928</v>
      </c>
      <c r="J31" s="13">
        <v>42.532</v>
      </c>
      <c r="K31" s="13">
        <v>114.104</v>
      </c>
      <c r="L31" s="13">
        <v>74</v>
      </c>
      <c r="M31" s="13">
        <v>71.458</v>
      </c>
      <c r="N31" s="13">
        <v>32.111</v>
      </c>
      <c r="O31" s="13">
        <v>59.888</v>
      </c>
      <c r="P31" s="13">
        <v>324.561</v>
      </c>
      <c r="Q31" s="49">
        <f t="shared" si="2"/>
        <v>826.8000000000001</v>
      </c>
      <c r="R31" s="13">
        <v>376.298</v>
      </c>
      <c r="S31" s="13">
        <v>260.71</v>
      </c>
      <c r="T31" s="13">
        <v>189.792</v>
      </c>
      <c r="U31" s="49">
        <v>65.838</v>
      </c>
      <c r="V31" s="49">
        <f t="shared" si="3"/>
        <v>555.052</v>
      </c>
      <c r="W31" s="13">
        <v>516.615</v>
      </c>
      <c r="X31" s="13">
        <v>26.803</v>
      </c>
      <c r="Y31" s="13">
        <v>11.634</v>
      </c>
      <c r="Z31" s="49">
        <v>8.1</v>
      </c>
      <c r="AA31" s="49">
        <f t="shared" si="4"/>
        <v>882.314</v>
      </c>
      <c r="AB31" s="13">
        <v>648.805</v>
      </c>
      <c r="AC31" s="13">
        <v>233.509</v>
      </c>
      <c r="AD31" s="13">
        <v>0</v>
      </c>
      <c r="AE31" s="13">
        <v>0</v>
      </c>
      <c r="AF31" s="49">
        <v>178.904</v>
      </c>
      <c r="AG31" s="49">
        <v>0</v>
      </c>
      <c r="AH31" s="49">
        <v>261.334</v>
      </c>
      <c r="AI31" s="49">
        <v>35.628</v>
      </c>
      <c r="AJ31" s="49">
        <v>177.603</v>
      </c>
      <c r="AK31" s="49">
        <v>214.024</v>
      </c>
      <c r="AL31" s="49">
        <v>9.582</v>
      </c>
      <c r="AM31" s="14">
        <f t="shared" si="5"/>
        <v>4663.175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8"/>
      <c r="ED31" s="18"/>
      <c r="EE31" s="18"/>
      <c r="EF31" s="18"/>
      <c r="EG31" s="18"/>
      <c r="EH31" s="18"/>
      <c r="EI31" s="18"/>
      <c r="EJ31" s="18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</row>
    <row r="32" spans="1:159" s="19" customFormat="1" ht="15">
      <c r="A32" s="22">
        <v>32111</v>
      </c>
      <c r="B32" s="49">
        <f t="shared" si="0"/>
        <v>474.324</v>
      </c>
      <c r="C32" s="13">
        <f>(37373+42837+14041+35173+106993+19611+160215)/1000</f>
        <v>416.243</v>
      </c>
      <c r="D32" s="13">
        <f>(37794+15925)/1000</f>
        <v>53.719</v>
      </c>
      <c r="E32" s="13">
        <v>4.362</v>
      </c>
      <c r="F32" s="49">
        <v>12.959</v>
      </c>
      <c r="G32" s="49">
        <f t="shared" si="1"/>
        <v>992.826</v>
      </c>
      <c r="H32" s="13">
        <v>34.167</v>
      </c>
      <c r="I32" s="13">
        <f>(188214+29605)/1000</f>
        <v>217.819</v>
      </c>
      <c r="J32" s="13">
        <v>40.557</v>
      </c>
      <c r="K32" s="13">
        <v>116.055</v>
      </c>
      <c r="L32" s="13">
        <v>80.133</v>
      </c>
      <c r="M32" s="13">
        <v>75.466</v>
      </c>
      <c r="N32" s="13">
        <v>35.625</v>
      </c>
      <c r="O32" s="13">
        <v>62.458</v>
      </c>
      <c r="P32" s="13">
        <v>330.546</v>
      </c>
      <c r="Q32" s="49">
        <f t="shared" si="2"/>
        <v>860.2660000000001</v>
      </c>
      <c r="R32" s="13">
        <v>411.4</v>
      </c>
      <c r="S32" s="13">
        <v>270.705</v>
      </c>
      <c r="T32" s="13">
        <v>178.161</v>
      </c>
      <c r="U32" s="49">
        <v>74.19</v>
      </c>
      <c r="V32" s="49">
        <f t="shared" si="3"/>
        <v>557.353</v>
      </c>
      <c r="W32" s="13">
        <v>518.022</v>
      </c>
      <c r="X32" s="13">
        <v>26.978</v>
      </c>
      <c r="Y32" s="13">
        <v>12.353</v>
      </c>
      <c r="Z32" s="49">
        <v>11.001</v>
      </c>
      <c r="AA32" s="49">
        <f t="shared" si="4"/>
        <v>876.693</v>
      </c>
      <c r="AB32" s="13">
        <v>663.708</v>
      </c>
      <c r="AC32" s="13">
        <v>212.985</v>
      </c>
      <c r="AD32" s="13">
        <v>0</v>
      </c>
      <c r="AE32" s="13">
        <v>0</v>
      </c>
      <c r="AF32" s="49">
        <v>155.476</v>
      </c>
      <c r="AG32" s="49">
        <v>0</v>
      </c>
      <c r="AH32" s="49">
        <v>281.556</v>
      </c>
      <c r="AI32" s="49">
        <v>34.849</v>
      </c>
      <c r="AJ32" s="49">
        <v>193.945</v>
      </c>
      <c r="AK32" s="49">
        <v>218.019</v>
      </c>
      <c r="AL32" s="49">
        <v>10.155</v>
      </c>
      <c r="AM32" s="14">
        <f t="shared" si="5"/>
        <v>4753.612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8"/>
      <c r="ED32" s="18"/>
      <c r="EE32" s="18"/>
      <c r="EF32" s="18"/>
      <c r="EG32" s="18"/>
      <c r="EH32" s="18"/>
      <c r="EI32" s="18"/>
      <c r="EJ32" s="18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</row>
    <row r="33" spans="1:159" s="19" customFormat="1" ht="15">
      <c r="A33" s="22">
        <v>32142</v>
      </c>
      <c r="B33" s="49">
        <f t="shared" si="0"/>
        <v>479.565</v>
      </c>
      <c r="C33" s="13">
        <f>(35677+37807+17584+37143+114360+17337+165349)/1000</f>
        <v>425.257</v>
      </c>
      <c r="D33" s="13">
        <f>(33961+17328)/1000</f>
        <v>51.289</v>
      </c>
      <c r="E33" s="13">
        <v>3.019</v>
      </c>
      <c r="F33" s="49">
        <v>25.58</v>
      </c>
      <c r="G33" s="49">
        <f t="shared" si="1"/>
        <v>978.8140000000001</v>
      </c>
      <c r="H33" s="13">
        <v>35.804</v>
      </c>
      <c r="I33" s="13">
        <f>(190372+30350)/1000</f>
        <v>220.722</v>
      </c>
      <c r="J33" s="13">
        <v>40.145</v>
      </c>
      <c r="K33" s="13">
        <v>112.563</v>
      </c>
      <c r="L33" s="13">
        <v>70.872</v>
      </c>
      <c r="M33" s="13">
        <v>70.144</v>
      </c>
      <c r="N33" s="13">
        <v>47.742</v>
      </c>
      <c r="O33" s="13">
        <v>62.364</v>
      </c>
      <c r="P33" s="13">
        <v>318.458</v>
      </c>
      <c r="Q33" s="49">
        <f t="shared" si="2"/>
        <v>897.435</v>
      </c>
      <c r="R33" s="13">
        <v>429.694</v>
      </c>
      <c r="S33" s="13">
        <v>274.373</v>
      </c>
      <c r="T33" s="13">
        <v>193.368</v>
      </c>
      <c r="U33" s="49">
        <v>90.983</v>
      </c>
      <c r="V33" s="49">
        <f t="shared" si="3"/>
        <v>591.5450000000001</v>
      </c>
      <c r="W33" s="13">
        <v>550.836</v>
      </c>
      <c r="X33" s="13">
        <v>27.042</v>
      </c>
      <c r="Y33" s="13">
        <v>13.667</v>
      </c>
      <c r="Z33" s="49">
        <v>13.482</v>
      </c>
      <c r="AA33" s="49">
        <f t="shared" si="4"/>
        <v>890.586</v>
      </c>
      <c r="AB33" s="13">
        <v>670.764</v>
      </c>
      <c r="AC33" s="13">
        <v>219.822</v>
      </c>
      <c r="AD33" s="13">
        <v>0</v>
      </c>
      <c r="AE33" s="13">
        <v>0</v>
      </c>
      <c r="AF33" s="49">
        <v>155.805</v>
      </c>
      <c r="AG33" s="49">
        <v>0</v>
      </c>
      <c r="AH33" s="49">
        <v>321.609</v>
      </c>
      <c r="AI33" s="49">
        <v>37.363</v>
      </c>
      <c r="AJ33" s="49">
        <v>178.662</v>
      </c>
      <c r="AK33" s="49">
        <v>217.105</v>
      </c>
      <c r="AL33" s="49">
        <v>17.317</v>
      </c>
      <c r="AM33" s="14">
        <f t="shared" si="5"/>
        <v>4895.8510000000015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8"/>
      <c r="ED33" s="18"/>
      <c r="EE33" s="18"/>
      <c r="EF33" s="18"/>
      <c r="EG33" s="18"/>
      <c r="EH33" s="18"/>
      <c r="EI33" s="18"/>
      <c r="EJ33" s="18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</row>
    <row r="34" spans="1:159" s="19" customFormat="1" ht="15">
      <c r="A34" s="22">
        <v>32173</v>
      </c>
      <c r="B34" s="49">
        <f t="shared" si="0"/>
        <v>507.361</v>
      </c>
      <c r="C34" s="13">
        <f>(37647+37465+17378+36750+122531+24875+172673)/1000</f>
        <v>449.319</v>
      </c>
      <c r="D34" s="13">
        <f>(34222+20846)/1000</f>
        <v>55.068</v>
      </c>
      <c r="E34" s="13">
        <v>2.974</v>
      </c>
      <c r="F34" s="49">
        <v>13.653</v>
      </c>
      <c r="G34" s="49">
        <f t="shared" si="1"/>
        <v>1031.1399999999999</v>
      </c>
      <c r="H34" s="13">
        <v>36.834</v>
      </c>
      <c r="I34" s="13">
        <f>(193805+12975)/1000</f>
        <v>206.78</v>
      </c>
      <c r="J34" s="13">
        <v>43.473</v>
      </c>
      <c r="K34" s="13">
        <v>141.121</v>
      </c>
      <c r="L34" s="13">
        <v>79.322</v>
      </c>
      <c r="M34" s="13">
        <v>72.899</v>
      </c>
      <c r="N34" s="13">
        <v>51.675</v>
      </c>
      <c r="O34" s="13">
        <v>97.93</v>
      </c>
      <c r="P34" s="13">
        <v>301.106</v>
      </c>
      <c r="Q34" s="49">
        <f t="shared" si="2"/>
        <v>907.1590000000001</v>
      </c>
      <c r="R34" s="13">
        <v>475.338</v>
      </c>
      <c r="S34" s="13">
        <v>248.034</v>
      </c>
      <c r="T34" s="13">
        <v>183.787</v>
      </c>
      <c r="U34" s="49">
        <v>81.295</v>
      </c>
      <c r="V34" s="49">
        <f t="shared" si="3"/>
        <v>618.956</v>
      </c>
      <c r="W34" s="13">
        <v>579.358</v>
      </c>
      <c r="X34" s="13">
        <v>27.791</v>
      </c>
      <c r="Y34" s="13">
        <v>11.807</v>
      </c>
      <c r="Z34" s="49">
        <v>11.85</v>
      </c>
      <c r="AA34" s="49">
        <f t="shared" si="4"/>
        <v>870.3</v>
      </c>
      <c r="AB34" s="13">
        <v>654.134</v>
      </c>
      <c r="AC34" s="13">
        <v>216.166</v>
      </c>
      <c r="AD34" s="13">
        <v>0</v>
      </c>
      <c r="AE34" s="13">
        <v>0</v>
      </c>
      <c r="AF34" s="49">
        <v>160.063</v>
      </c>
      <c r="AG34" s="49">
        <v>0</v>
      </c>
      <c r="AH34" s="49">
        <v>327.933</v>
      </c>
      <c r="AI34" s="49">
        <v>38.217</v>
      </c>
      <c r="AJ34" s="49">
        <v>183.578</v>
      </c>
      <c r="AK34" s="49">
        <v>217.488</v>
      </c>
      <c r="AL34" s="49">
        <v>17.401</v>
      </c>
      <c r="AM34" s="14">
        <f t="shared" si="5"/>
        <v>4986.394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8"/>
      <c r="ED34" s="18"/>
      <c r="EE34" s="18"/>
      <c r="EF34" s="18"/>
      <c r="EG34" s="18"/>
      <c r="EH34" s="18"/>
      <c r="EI34" s="18"/>
      <c r="EJ34" s="18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</row>
    <row r="35" spans="1:159" s="19" customFormat="1" ht="15">
      <c r="A35" s="22">
        <v>32202</v>
      </c>
      <c r="B35" s="49">
        <f t="shared" si="0"/>
        <v>518.865</v>
      </c>
      <c r="C35" s="13">
        <f>(39371+38472+21657+29142+119905+30447+176349)/1000</f>
        <v>455.343</v>
      </c>
      <c r="D35" s="13">
        <f>(36754+23795)/1000</f>
        <v>60.549</v>
      </c>
      <c r="E35" s="13">
        <v>2.973</v>
      </c>
      <c r="F35" s="49">
        <v>14.729</v>
      </c>
      <c r="G35" s="49">
        <f t="shared" si="1"/>
        <v>1060.7749999999999</v>
      </c>
      <c r="H35" s="13">
        <v>35.201</v>
      </c>
      <c r="I35" s="13">
        <f>(199674+13177)/1000</f>
        <v>212.851</v>
      </c>
      <c r="J35" s="13">
        <v>43.935</v>
      </c>
      <c r="K35" s="13">
        <v>143.613</v>
      </c>
      <c r="L35" s="13">
        <v>83.752</v>
      </c>
      <c r="M35" s="13">
        <v>78.914</v>
      </c>
      <c r="N35" s="13">
        <v>50.775</v>
      </c>
      <c r="O35" s="13">
        <v>97.947</v>
      </c>
      <c r="P35" s="13">
        <v>313.787</v>
      </c>
      <c r="Q35" s="49">
        <f t="shared" si="2"/>
        <v>951.924</v>
      </c>
      <c r="R35" s="13">
        <v>506.205</v>
      </c>
      <c r="S35" s="13">
        <v>260.982</v>
      </c>
      <c r="T35" s="13">
        <v>184.737</v>
      </c>
      <c r="U35" s="49">
        <v>72.213</v>
      </c>
      <c r="V35" s="49">
        <f t="shared" si="3"/>
        <v>620.419</v>
      </c>
      <c r="W35" s="13">
        <v>581.144</v>
      </c>
      <c r="X35" s="13">
        <v>26.5</v>
      </c>
      <c r="Y35" s="13">
        <v>12.775</v>
      </c>
      <c r="Z35" s="49">
        <v>7.65</v>
      </c>
      <c r="AA35" s="49">
        <f t="shared" si="4"/>
        <v>878.788</v>
      </c>
      <c r="AB35" s="13">
        <v>663.663</v>
      </c>
      <c r="AC35" s="13">
        <v>215.125</v>
      </c>
      <c r="AD35" s="13">
        <v>0</v>
      </c>
      <c r="AE35" s="13">
        <v>0</v>
      </c>
      <c r="AF35" s="49">
        <v>158.644</v>
      </c>
      <c r="AG35" s="49">
        <v>0</v>
      </c>
      <c r="AH35" s="49">
        <v>321.88</v>
      </c>
      <c r="AI35" s="49">
        <v>38.493</v>
      </c>
      <c r="AJ35" s="49">
        <v>189.013</v>
      </c>
      <c r="AK35" s="49">
        <v>217.392</v>
      </c>
      <c r="AL35" s="49">
        <v>14.706</v>
      </c>
      <c r="AM35" s="14">
        <f t="shared" si="5"/>
        <v>5065.491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8"/>
      <c r="ED35" s="18"/>
      <c r="EE35" s="18"/>
      <c r="EF35" s="18"/>
      <c r="EG35" s="18"/>
      <c r="EH35" s="18"/>
      <c r="EI35" s="18"/>
      <c r="EJ35" s="18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</row>
    <row r="36" spans="1:159" s="19" customFormat="1" ht="15">
      <c r="A36" s="22">
        <v>32233</v>
      </c>
      <c r="B36" s="49">
        <f t="shared" si="0"/>
        <v>529.987</v>
      </c>
      <c r="C36" s="13">
        <f>(41583+43235+22479+27290+124885+26580+183123)/1000</f>
        <v>469.175</v>
      </c>
      <c r="D36" s="13">
        <f>(40736+17569)/1000</f>
        <v>58.305</v>
      </c>
      <c r="E36" s="13">
        <v>2.507</v>
      </c>
      <c r="F36" s="49">
        <v>16.432</v>
      </c>
      <c r="G36" s="49">
        <f t="shared" si="1"/>
        <v>1059.46</v>
      </c>
      <c r="H36" s="13">
        <v>39.626</v>
      </c>
      <c r="I36" s="13">
        <f>(200254+13201)/1000</f>
        <v>213.455</v>
      </c>
      <c r="J36" s="13">
        <v>48.739</v>
      </c>
      <c r="K36" s="13">
        <v>145.302</v>
      </c>
      <c r="L36" s="13">
        <v>87.87</v>
      </c>
      <c r="M36" s="13">
        <v>73.797</v>
      </c>
      <c r="N36" s="13">
        <v>46.021</v>
      </c>
      <c r="O36" s="13">
        <v>85.658</v>
      </c>
      <c r="P36" s="13">
        <v>318.992</v>
      </c>
      <c r="Q36" s="49">
        <f t="shared" si="2"/>
        <v>990.364</v>
      </c>
      <c r="R36" s="13">
        <v>539.654</v>
      </c>
      <c r="S36" s="13">
        <v>254.789</v>
      </c>
      <c r="T36" s="13">
        <v>195.921</v>
      </c>
      <c r="U36" s="49">
        <v>96.581</v>
      </c>
      <c r="V36" s="49">
        <f t="shared" si="3"/>
        <v>640.1800000000001</v>
      </c>
      <c r="W36" s="13">
        <v>597.591</v>
      </c>
      <c r="X36" s="13">
        <v>29.657</v>
      </c>
      <c r="Y36" s="13">
        <v>12.932</v>
      </c>
      <c r="Z36" s="49">
        <v>12.873</v>
      </c>
      <c r="AA36" s="49">
        <f t="shared" si="4"/>
        <v>883.061</v>
      </c>
      <c r="AB36" s="13">
        <v>665.206</v>
      </c>
      <c r="AC36" s="13">
        <v>217.855</v>
      </c>
      <c r="AD36" s="13">
        <v>0</v>
      </c>
      <c r="AE36" s="13">
        <v>0</v>
      </c>
      <c r="AF36" s="49">
        <v>175.961</v>
      </c>
      <c r="AG36" s="49">
        <v>0</v>
      </c>
      <c r="AH36" s="49">
        <v>336.176</v>
      </c>
      <c r="AI36" s="49">
        <v>38.026</v>
      </c>
      <c r="AJ36" s="49">
        <v>192.778</v>
      </c>
      <c r="AK36" s="49">
        <v>224.938</v>
      </c>
      <c r="AL36" s="49">
        <v>19.864</v>
      </c>
      <c r="AM36" s="14">
        <f t="shared" si="5"/>
        <v>5216.6810000000005</v>
      </c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8"/>
      <c r="ED36" s="18"/>
      <c r="EE36" s="18"/>
      <c r="EF36" s="18"/>
      <c r="EG36" s="18"/>
      <c r="EH36" s="18"/>
      <c r="EI36" s="18"/>
      <c r="EJ36" s="18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</row>
    <row r="37" spans="1:159" s="19" customFormat="1" ht="15">
      <c r="A37" s="22">
        <v>32263</v>
      </c>
      <c r="B37" s="49">
        <f t="shared" si="0"/>
        <v>547.877</v>
      </c>
      <c r="C37" s="13">
        <f>(40416+45048+21608+27648+120420+26487+200919)/1000</f>
        <v>482.546</v>
      </c>
      <c r="D37" s="13">
        <f>(41881+20708)/1000</f>
        <v>62.589</v>
      </c>
      <c r="E37" s="13">
        <v>2.742</v>
      </c>
      <c r="F37" s="49">
        <v>21.535</v>
      </c>
      <c r="G37" s="49">
        <f t="shared" si="1"/>
        <v>1113.4250000000002</v>
      </c>
      <c r="H37" s="13">
        <v>46.933</v>
      </c>
      <c r="I37" s="13">
        <f>(197814+13543)/1000</f>
        <v>211.357</v>
      </c>
      <c r="J37" s="13">
        <v>46.515</v>
      </c>
      <c r="K37" s="13">
        <v>151.253</v>
      </c>
      <c r="L37" s="13">
        <v>88.475</v>
      </c>
      <c r="M37" s="13">
        <v>76.663</v>
      </c>
      <c r="N37" s="13">
        <v>44.393</v>
      </c>
      <c r="O37" s="13">
        <v>98.104</v>
      </c>
      <c r="P37" s="13">
        <v>349.732</v>
      </c>
      <c r="Q37" s="49">
        <f t="shared" si="2"/>
        <v>1022.682</v>
      </c>
      <c r="R37" s="13">
        <v>574.115</v>
      </c>
      <c r="S37" s="13">
        <v>242.006</v>
      </c>
      <c r="T37" s="13">
        <v>206.561</v>
      </c>
      <c r="U37" s="49">
        <v>90.939</v>
      </c>
      <c r="V37" s="49">
        <f t="shared" si="3"/>
        <v>652.151</v>
      </c>
      <c r="W37" s="13">
        <v>610.097</v>
      </c>
      <c r="X37" s="13">
        <v>28.543</v>
      </c>
      <c r="Y37" s="13">
        <v>13.511</v>
      </c>
      <c r="Z37" s="49">
        <v>8.057</v>
      </c>
      <c r="AA37" s="49">
        <f t="shared" si="4"/>
        <v>648.494</v>
      </c>
      <c r="AB37" s="13">
        <v>430.069</v>
      </c>
      <c r="AC37" s="13">
        <v>218.425</v>
      </c>
      <c r="AD37" s="13">
        <v>0</v>
      </c>
      <c r="AE37" s="13">
        <v>0</v>
      </c>
      <c r="AF37" s="49">
        <v>167.053</v>
      </c>
      <c r="AG37" s="49">
        <v>0</v>
      </c>
      <c r="AH37" s="49">
        <v>357.462</v>
      </c>
      <c r="AI37" s="49">
        <v>35.854</v>
      </c>
      <c r="AJ37" s="49">
        <v>195.684</v>
      </c>
      <c r="AK37" s="49">
        <v>230.89</v>
      </c>
      <c r="AL37" s="49">
        <v>21.306</v>
      </c>
      <c r="AM37" s="14">
        <f t="shared" si="5"/>
        <v>5113.409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8"/>
      <c r="ED37" s="18"/>
      <c r="EE37" s="18"/>
      <c r="EF37" s="18"/>
      <c r="EG37" s="18"/>
      <c r="EH37" s="18"/>
      <c r="EI37" s="18"/>
      <c r="EJ37" s="18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</row>
    <row r="38" spans="1:159" s="19" customFormat="1" ht="15">
      <c r="A38" s="22">
        <v>32294</v>
      </c>
      <c r="B38" s="49">
        <f t="shared" si="0"/>
        <v>564.529</v>
      </c>
      <c r="C38" s="13">
        <f>(42974+46566+20415+30607+136320+26636+197715)/1000</f>
        <v>501.233</v>
      </c>
      <c r="D38" s="13">
        <f>(43022+17407)/1000</f>
        <v>60.429</v>
      </c>
      <c r="E38" s="13">
        <v>2.867</v>
      </c>
      <c r="F38" s="49">
        <v>24.473</v>
      </c>
      <c r="G38" s="49">
        <f t="shared" si="1"/>
        <v>1114.7010000000002</v>
      </c>
      <c r="H38" s="13">
        <v>41.399</v>
      </c>
      <c r="I38" s="13">
        <f>(206073+13934)/1000</f>
        <v>220.007</v>
      </c>
      <c r="J38" s="13">
        <v>46.389</v>
      </c>
      <c r="K38" s="13">
        <v>160.165</v>
      </c>
      <c r="L38" s="13">
        <v>77.555</v>
      </c>
      <c r="M38" s="13">
        <v>72.738</v>
      </c>
      <c r="N38" s="13">
        <v>44.383</v>
      </c>
      <c r="O38" s="13">
        <v>97.08</v>
      </c>
      <c r="P38" s="13">
        <v>354.985</v>
      </c>
      <c r="Q38" s="49">
        <f t="shared" si="2"/>
        <v>1056.8609999999999</v>
      </c>
      <c r="R38" s="13">
        <v>593.277</v>
      </c>
      <c r="S38" s="13">
        <v>246.175</v>
      </c>
      <c r="T38" s="13">
        <v>217.409</v>
      </c>
      <c r="U38" s="49">
        <v>95.506</v>
      </c>
      <c r="V38" s="49">
        <f t="shared" si="3"/>
        <v>702.0350000000001</v>
      </c>
      <c r="W38" s="13">
        <v>660.243</v>
      </c>
      <c r="X38" s="13">
        <v>28.524</v>
      </c>
      <c r="Y38" s="13">
        <v>13.268</v>
      </c>
      <c r="Z38" s="49">
        <v>7.134</v>
      </c>
      <c r="AA38" s="49">
        <f t="shared" si="4"/>
        <v>366.231</v>
      </c>
      <c r="AB38" s="13">
        <v>154.631</v>
      </c>
      <c r="AC38" s="13">
        <v>211.6</v>
      </c>
      <c r="AD38" s="13">
        <v>0</v>
      </c>
      <c r="AE38" s="13">
        <v>0</v>
      </c>
      <c r="AF38" s="49">
        <v>180.05</v>
      </c>
      <c r="AG38" s="49">
        <v>0</v>
      </c>
      <c r="AH38" s="49">
        <v>362.275</v>
      </c>
      <c r="AI38" s="49">
        <v>39.575</v>
      </c>
      <c r="AJ38" s="49">
        <v>212.725</v>
      </c>
      <c r="AK38" s="49">
        <v>243.843</v>
      </c>
      <c r="AL38" s="49">
        <v>21.353</v>
      </c>
      <c r="AM38" s="14">
        <f t="shared" si="5"/>
        <v>4991.291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8"/>
      <c r="ED38" s="18"/>
      <c r="EE38" s="18"/>
      <c r="EF38" s="18"/>
      <c r="EG38" s="18"/>
      <c r="EH38" s="18"/>
      <c r="EI38" s="18"/>
      <c r="EJ38" s="18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</row>
    <row r="39" spans="1:159" s="19" customFormat="1" ht="15">
      <c r="A39" s="22">
        <v>32324</v>
      </c>
      <c r="B39" s="49">
        <f t="shared" si="0"/>
        <v>574.584</v>
      </c>
      <c r="C39" s="13">
        <f>(39706+49726+18772+28727+140612+28339+204857)/1000</f>
        <v>510.739</v>
      </c>
      <c r="D39" s="13">
        <f>(42940+17891)/1000</f>
        <v>60.831</v>
      </c>
      <c r="E39" s="13">
        <v>3.014</v>
      </c>
      <c r="F39" s="49">
        <v>25.27</v>
      </c>
      <c r="G39" s="49">
        <f t="shared" si="1"/>
        <v>1164.845</v>
      </c>
      <c r="H39" s="13">
        <v>50.976</v>
      </c>
      <c r="I39" s="13">
        <f>(203676+34992)/1000</f>
        <v>238.668</v>
      </c>
      <c r="J39" s="13">
        <v>49.559</v>
      </c>
      <c r="K39" s="13">
        <v>165.883</v>
      </c>
      <c r="L39" s="13">
        <v>78.246</v>
      </c>
      <c r="M39" s="13">
        <v>77.073</v>
      </c>
      <c r="N39" s="13">
        <v>48.053</v>
      </c>
      <c r="O39" s="13">
        <v>86.868</v>
      </c>
      <c r="P39" s="13">
        <v>369.519</v>
      </c>
      <c r="Q39" s="49">
        <f t="shared" si="2"/>
        <v>1068.829</v>
      </c>
      <c r="R39" s="13">
        <v>595.759</v>
      </c>
      <c r="S39" s="13">
        <v>252.727</v>
      </c>
      <c r="T39" s="13">
        <v>220.343</v>
      </c>
      <c r="U39" s="49">
        <v>110.461</v>
      </c>
      <c r="V39" s="49">
        <f t="shared" si="3"/>
        <v>750.505</v>
      </c>
      <c r="W39" s="13">
        <v>703.382</v>
      </c>
      <c r="X39" s="13">
        <v>30.279</v>
      </c>
      <c r="Y39" s="13">
        <v>16.844</v>
      </c>
      <c r="Z39" s="49">
        <v>8.62</v>
      </c>
      <c r="AA39" s="49">
        <f t="shared" si="4"/>
        <v>363.56399999999996</v>
      </c>
      <c r="AB39" s="13">
        <v>149.552</v>
      </c>
      <c r="AC39" s="13">
        <v>214.012</v>
      </c>
      <c r="AD39" s="13">
        <v>0</v>
      </c>
      <c r="AE39" s="13">
        <v>0</v>
      </c>
      <c r="AF39" s="49">
        <v>186.043</v>
      </c>
      <c r="AG39" s="49">
        <v>0</v>
      </c>
      <c r="AH39" s="49">
        <v>371.632</v>
      </c>
      <c r="AI39" s="49">
        <v>41.953</v>
      </c>
      <c r="AJ39" s="49">
        <v>214.376</v>
      </c>
      <c r="AK39" s="49">
        <v>247.902</v>
      </c>
      <c r="AL39" s="49">
        <v>21.385</v>
      </c>
      <c r="AM39" s="14">
        <f t="shared" si="5"/>
        <v>5149.969</v>
      </c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8"/>
      <c r="ED39" s="18"/>
      <c r="EE39" s="18"/>
      <c r="EF39" s="18"/>
      <c r="EG39" s="18"/>
      <c r="EH39" s="18"/>
      <c r="EI39" s="18"/>
      <c r="EJ39" s="18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</row>
    <row r="40" spans="1:159" s="19" customFormat="1" ht="15">
      <c r="A40" s="22">
        <v>32355</v>
      </c>
      <c r="B40" s="49">
        <f t="shared" si="0"/>
        <v>592.349</v>
      </c>
      <c r="C40" s="13">
        <f>(46403+42443+32639+33842+138363+28632+213412)/1000</f>
        <v>535.734</v>
      </c>
      <c r="D40" s="13">
        <f>(34666+15537)/1000</f>
        <v>50.203</v>
      </c>
      <c r="E40" s="13">
        <v>6.412</v>
      </c>
      <c r="F40" s="49">
        <v>74.78</v>
      </c>
      <c r="G40" s="49">
        <f t="shared" si="1"/>
        <v>1204.354</v>
      </c>
      <c r="H40" s="13">
        <v>53.647</v>
      </c>
      <c r="I40" s="13">
        <f>(214776+32662)/1000</f>
        <v>247.438</v>
      </c>
      <c r="J40" s="13">
        <v>50.261</v>
      </c>
      <c r="K40" s="13">
        <v>167.492</v>
      </c>
      <c r="L40" s="13">
        <v>79.728</v>
      </c>
      <c r="M40" s="13">
        <v>79.421</v>
      </c>
      <c r="N40" s="13">
        <v>52.13</v>
      </c>
      <c r="O40" s="13">
        <v>92.455</v>
      </c>
      <c r="P40" s="13">
        <v>381.782</v>
      </c>
      <c r="Q40" s="49">
        <f t="shared" si="2"/>
        <v>1095.292</v>
      </c>
      <c r="R40" s="13">
        <v>615.802</v>
      </c>
      <c r="S40" s="13">
        <v>263.93</v>
      </c>
      <c r="T40" s="13">
        <v>215.56</v>
      </c>
      <c r="U40" s="49">
        <v>121.337</v>
      </c>
      <c r="V40" s="49">
        <f t="shared" si="3"/>
        <v>708.9469999999999</v>
      </c>
      <c r="W40" s="13">
        <v>672.122</v>
      </c>
      <c r="X40" s="13">
        <v>26.026</v>
      </c>
      <c r="Y40" s="13">
        <v>10.799</v>
      </c>
      <c r="Z40" s="49">
        <v>6.992</v>
      </c>
      <c r="AA40" s="49">
        <f t="shared" si="4"/>
        <v>318.882</v>
      </c>
      <c r="AB40" s="13">
        <v>148.728</v>
      </c>
      <c r="AC40" s="13">
        <v>0.463</v>
      </c>
      <c r="AD40" s="13">
        <v>102.523</v>
      </c>
      <c r="AE40" s="13">
        <v>67.168</v>
      </c>
      <c r="AF40" s="49">
        <v>181.018</v>
      </c>
      <c r="AG40" s="49">
        <v>0</v>
      </c>
      <c r="AH40" s="49">
        <v>381.359</v>
      </c>
      <c r="AI40" s="49">
        <v>50.699</v>
      </c>
      <c r="AJ40" s="49">
        <v>199.701</v>
      </c>
      <c r="AK40" s="49">
        <v>238.272</v>
      </c>
      <c r="AL40" s="49">
        <v>32.878</v>
      </c>
      <c r="AM40" s="14">
        <f t="shared" si="5"/>
        <v>5206.86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8"/>
      <c r="ED40" s="18"/>
      <c r="EE40" s="18"/>
      <c r="EF40" s="18"/>
      <c r="EG40" s="18"/>
      <c r="EH40" s="18"/>
      <c r="EI40" s="18"/>
      <c r="EJ40" s="18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</row>
    <row r="41" spans="1:159" s="19" customFormat="1" ht="15">
      <c r="A41" s="22">
        <v>32386</v>
      </c>
      <c r="B41" s="49">
        <f t="shared" si="0"/>
        <v>587.6730000000001</v>
      </c>
      <c r="C41" s="13">
        <f>(45239+50249+19680+35031+135309+29431+218054)/1000</f>
        <v>532.993</v>
      </c>
      <c r="D41" s="13">
        <f>(33155+15585)/1000</f>
        <v>48.74</v>
      </c>
      <c r="E41" s="13">
        <v>5.94</v>
      </c>
      <c r="F41" s="49">
        <v>77.964</v>
      </c>
      <c r="G41" s="49">
        <f t="shared" si="1"/>
        <v>1185.1060000000002</v>
      </c>
      <c r="H41" s="13">
        <v>29.319</v>
      </c>
      <c r="I41" s="13">
        <f>(198678+34538)/1000</f>
        <v>233.216</v>
      </c>
      <c r="J41" s="13">
        <v>52.275</v>
      </c>
      <c r="K41" s="13">
        <v>165.141</v>
      </c>
      <c r="L41" s="13">
        <v>88.219</v>
      </c>
      <c r="M41" s="13">
        <v>76.388</v>
      </c>
      <c r="N41" s="13">
        <v>51.101</v>
      </c>
      <c r="O41" s="13">
        <v>83.729</v>
      </c>
      <c r="P41" s="13">
        <v>405.718</v>
      </c>
      <c r="Q41" s="49">
        <f t="shared" si="2"/>
        <v>1129.177</v>
      </c>
      <c r="R41" s="13">
        <v>659.498</v>
      </c>
      <c r="S41" s="13">
        <v>263.551</v>
      </c>
      <c r="T41" s="13">
        <v>206.128</v>
      </c>
      <c r="U41" s="49">
        <v>115.889</v>
      </c>
      <c r="V41" s="49">
        <f t="shared" si="3"/>
        <v>722.335</v>
      </c>
      <c r="W41" s="13">
        <v>684.802</v>
      </c>
      <c r="X41" s="13">
        <v>26.138</v>
      </c>
      <c r="Y41" s="13">
        <v>11.395</v>
      </c>
      <c r="Z41" s="49">
        <v>9.04</v>
      </c>
      <c r="AA41" s="49">
        <f t="shared" si="4"/>
        <v>349.067</v>
      </c>
      <c r="AB41" s="13">
        <v>149.125</v>
      </c>
      <c r="AC41" s="13">
        <v>0.959</v>
      </c>
      <c r="AD41" s="13">
        <v>133.715</v>
      </c>
      <c r="AE41" s="13">
        <v>65.268</v>
      </c>
      <c r="AF41" s="49">
        <v>181.978</v>
      </c>
      <c r="AG41" s="49">
        <v>0</v>
      </c>
      <c r="AH41" s="49">
        <v>395.054</v>
      </c>
      <c r="AI41" s="49">
        <v>42.43</v>
      </c>
      <c r="AJ41" s="49">
        <v>198.129</v>
      </c>
      <c r="AK41" s="49">
        <v>232.775</v>
      </c>
      <c r="AL41" s="49">
        <v>32.164</v>
      </c>
      <c r="AM41" s="14">
        <f t="shared" si="5"/>
        <v>5258.781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8"/>
      <c r="ED41" s="18"/>
      <c r="EE41" s="18"/>
      <c r="EF41" s="18"/>
      <c r="EG41" s="18"/>
      <c r="EH41" s="18"/>
      <c r="EI41" s="18"/>
      <c r="EJ41" s="18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</row>
    <row r="42" spans="1:159" s="19" customFormat="1" ht="15">
      <c r="A42" s="22">
        <v>32416</v>
      </c>
      <c r="B42" s="49">
        <f t="shared" si="0"/>
        <v>687.7739999999999</v>
      </c>
      <c r="C42" s="13">
        <f>(56854+54091+19725+49367+142941+29187+251818)/1000</f>
        <v>603.983</v>
      </c>
      <c r="D42" s="13">
        <f>(53339+24056)/1000</f>
        <v>77.395</v>
      </c>
      <c r="E42" s="13">
        <v>6.396</v>
      </c>
      <c r="F42" s="49">
        <v>26.529</v>
      </c>
      <c r="G42" s="49">
        <f t="shared" si="1"/>
        <v>1328.463</v>
      </c>
      <c r="H42" s="13">
        <v>25.994</v>
      </c>
      <c r="I42" s="13">
        <f>(214916+36311)/1000</f>
        <v>251.227</v>
      </c>
      <c r="J42" s="13">
        <v>56.523</v>
      </c>
      <c r="K42" s="13">
        <v>147.045</v>
      </c>
      <c r="L42" s="13">
        <v>103.259</v>
      </c>
      <c r="M42" s="13">
        <v>72.018</v>
      </c>
      <c r="N42" s="13">
        <v>78.294</v>
      </c>
      <c r="O42" s="13">
        <v>101.817</v>
      </c>
      <c r="P42" s="13">
        <v>492.286</v>
      </c>
      <c r="Q42" s="49">
        <f t="shared" si="2"/>
        <v>1158.405</v>
      </c>
      <c r="R42" s="13">
        <v>650.302</v>
      </c>
      <c r="S42" s="13">
        <v>291.619</v>
      </c>
      <c r="T42" s="13">
        <v>216.484</v>
      </c>
      <c r="U42" s="49">
        <v>136.74</v>
      </c>
      <c r="V42" s="49">
        <f t="shared" si="3"/>
        <v>774.922</v>
      </c>
      <c r="W42" s="13">
        <v>731.899</v>
      </c>
      <c r="X42" s="13">
        <v>30.673</v>
      </c>
      <c r="Y42" s="13">
        <v>12.35</v>
      </c>
      <c r="Z42" s="49">
        <v>13.52</v>
      </c>
      <c r="AA42" s="49">
        <f t="shared" si="4"/>
        <v>297.12800000000004</v>
      </c>
      <c r="AB42" s="13">
        <v>83.32</v>
      </c>
      <c r="AC42" s="13">
        <v>1.616</v>
      </c>
      <c r="AD42" s="13">
        <v>138.441</v>
      </c>
      <c r="AE42" s="13">
        <v>73.751</v>
      </c>
      <c r="AF42" s="49">
        <v>188.826</v>
      </c>
      <c r="AG42" s="49">
        <v>0</v>
      </c>
      <c r="AH42" s="49">
        <v>448.274</v>
      </c>
      <c r="AI42" s="49">
        <v>47.486</v>
      </c>
      <c r="AJ42" s="49">
        <v>219.352</v>
      </c>
      <c r="AK42" s="49">
        <v>252.075</v>
      </c>
      <c r="AL42" s="49">
        <v>39.162</v>
      </c>
      <c r="AM42" s="14">
        <f t="shared" si="5"/>
        <v>5618.656000000001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8"/>
      <c r="ED42" s="18"/>
      <c r="EE42" s="18"/>
      <c r="EF42" s="18"/>
      <c r="EG42" s="18"/>
      <c r="EH42" s="18"/>
      <c r="EI42" s="18"/>
      <c r="EJ42" s="18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</row>
    <row r="43" spans="1:159" s="19" customFormat="1" ht="15">
      <c r="A43" s="22">
        <v>32447</v>
      </c>
      <c r="B43" s="49">
        <f t="shared" si="0"/>
        <v>644.5959999999999</v>
      </c>
      <c r="C43" s="13">
        <f>(49444+51357+19354+40544+140215+28248+249970)/1000</f>
        <v>579.132</v>
      </c>
      <c r="D43" s="13">
        <f>(37824+21524)/1000</f>
        <v>59.348</v>
      </c>
      <c r="E43" s="13">
        <v>6.116</v>
      </c>
      <c r="F43" s="49">
        <v>19.987</v>
      </c>
      <c r="G43" s="49">
        <f t="shared" si="1"/>
        <v>1230.042</v>
      </c>
      <c r="H43" s="13">
        <v>21.945</v>
      </c>
      <c r="I43" s="13">
        <f>(202989+24232)/1000</f>
        <v>227.221</v>
      </c>
      <c r="J43" s="13">
        <v>55.749</v>
      </c>
      <c r="K43" s="13">
        <v>178.893</v>
      </c>
      <c r="L43" s="13">
        <v>91.475</v>
      </c>
      <c r="M43" s="13">
        <v>68.758</v>
      </c>
      <c r="N43" s="13">
        <v>48.177</v>
      </c>
      <c r="O43" s="13">
        <v>84.607</v>
      </c>
      <c r="P43" s="13">
        <v>453.217</v>
      </c>
      <c r="Q43" s="49">
        <f t="shared" si="2"/>
        <v>1197.7359999999999</v>
      </c>
      <c r="R43" s="13">
        <v>709.737</v>
      </c>
      <c r="S43" s="13">
        <v>300.328</v>
      </c>
      <c r="T43" s="13">
        <v>187.671</v>
      </c>
      <c r="U43" s="49">
        <v>126.301</v>
      </c>
      <c r="V43" s="49">
        <f t="shared" si="3"/>
        <v>762.4090000000001</v>
      </c>
      <c r="W43" s="13">
        <v>725.07</v>
      </c>
      <c r="X43" s="13">
        <v>25.306</v>
      </c>
      <c r="Y43" s="13">
        <v>12.033</v>
      </c>
      <c r="Z43" s="49">
        <v>10.078</v>
      </c>
      <c r="AA43" s="49">
        <f t="shared" si="4"/>
        <v>384.741</v>
      </c>
      <c r="AB43" s="13">
        <v>149.523</v>
      </c>
      <c r="AC43" s="13">
        <v>0</v>
      </c>
      <c r="AD43" s="13">
        <v>160.95</v>
      </c>
      <c r="AE43" s="13">
        <v>74.268</v>
      </c>
      <c r="AF43" s="49">
        <v>185.324</v>
      </c>
      <c r="AG43" s="49">
        <v>0</v>
      </c>
      <c r="AH43" s="49">
        <v>432.712</v>
      </c>
      <c r="AI43" s="49">
        <v>44.484</v>
      </c>
      <c r="AJ43" s="49">
        <v>209.85</v>
      </c>
      <c r="AK43" s="49">
        <v>250.643</v>
      </c>
      <c r="AL43" s="49">
        <v>36.442</v>
      </c>
      <c r="AM43" s="14">
        <f t="shared" si="5"/>
        <v>5535.345</v>
      </c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8"/>
      <c r="ED43" s="18"/>
      <c r="EE43" s="18"/>
      <c r="EF43" s="18"/>
      <c r="EG43" s="18"/>
      <c r="EH43" s="18"/>
      <c r="EI43" s="18"/>
      <c r="EJ43" s="18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</row>
    <row r="44" spans="1:159" s="19" customFormat="1" ht="15">
      <c r="A44" s="22">
        <v>32477</v>
      </c>
      <c r="B44" s="49">
        <f t="shared" si="0"/>
        <v>656.9200000000001</v>
      </c>
      <c r="C44" s="13">
        <f>(53212+51454+34201+46014+135013+30803+246292)/1000</f>
        <v>596.989</v>
      </c>
      <c r="D44" s="13">
        <f>(38606+15012)/1000</f>
        <v>53.618</v>
      </c>
      <c r="E44" s="13">
        <v>6.313</v>
      </c>
      <c r="F44" s="49">
        <v>18.62</v>
      </c>
      <c r="G44" s="49">
        <f t="shared" si="1"/>
        <v>1193.984</v>
      </c>
      <c r="H44" s="13">
        <v>29.165</v>
      </c>
      <c r="I44" s="13">
        <f>(202072+22450)/1000</f>
        <v>224.522</v>
      </c>
      <c r="J44" s="13">
        <v>58.32</v>
      </c>
      <c r="K44" s="13">
        <v>168.979</v>
      </c>
      <c r="L44" s="13">
        <v>92.212</v>
      </c>
      <c r="M44" s="13">
        <v>68.17</v>
      </c>
      <c r="N44" s="13">
        <v>54.458</v>
      </c>
      <c r="O44" s="13">
        <v>79.424</v>
      </c>
      <c r="P44" s="13">
        <v>418.734</v>
      </c>
      <c r="Q44" s="49">
        <f t="shared" si="2"/>
        <v>1276.4730000000002</v>
      </c>
      <c r="R44" s="13">
        <v>755.588</v>
      </c>
      <c r="S44" s="13">
        <v>320.946</v>
      </c>
      <c r="T44" s="13">
        <v>199.939</v>
      </c>
      <c r="U44" s="49">
        <v>141.111</v>
      </c>
      <c r="V44" s="49">
        <f t="shared" si="3"/>
        <v>752.245</v>
      </c>
      <c r="W44" s="13">
        <v>715.294</v>
      </c>
      <c r="X44" s="13">
        <v>25.282</v>
      </c>
      <c r="Y44" s="13">
        <v>11.669</v>
      </c>
      <c r="Z44" s="49">
        <v>13.107</v>
      </c>
      <c r="AA44" s="49">
        <f t="shared" si="4"/>
        <v>419.25600000000003</v>
      </c>
      <c r="AB44" s="13">
        <v>158.776</v>
      </c>
      <c r="AC44" s="13">
        <v>1.413</v>
      </c>
      <c r="AD44" s="13">
        <v>183.61</v>
      </c>
      <c r="AE44" s="13">
        <v>75.457</v>
      </c>
      <c r="AF44" s="49">
        <v>185.835</v>
      </c>
      <c r="AG44" s="49">
        <v>0</v>
      </c>
      <c r="AH44" s="49">
        <v>448.041</v>
      </c>
      <c r="AI44" s="49">
        <v>54.557</v>
      </c>
      <c r="AJ44" s="49">
        <v>226.898</v>
      </c>
      <c r="AK44" s="49">
        <v>238.581</v>
      </c>
      <c r="AL44" s="49">
        <v>36.179</v>
      </c>
      <c r="AM44" s="14">
        <f t="shared" si="5"/>
        <v>5661.807000000001</v>
      </c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8"/>
      <c r="ED44" s="18"/>
      <c r="EE44" s="18"/>
      <c r="EF44" s="18"/>
      <c r="EG44" s="18"/>
      <c r="EH44" s="18"/>
      <c r="EI44" s="18"/>
      <c r="EJ44" s="18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</row>
    <row r="45" spans="1:159" s="19" customFormat="1" ht="15">
      <c r="A45" s="22">
        <v>32508</v>
      </c>
      <c r="B45" s="49">
        <f t="shared" si="0"/>
        <v>668.554</v>
      </c>
      <c r="C45" s="13">
        <f>(61279+54561+32162+44713+135382+31679+248637)/1000</f>
        <v>608.413</v>
      </c>
      <c r="D45" s="13">
        <f>(41828+12962)/1000</f>
        <v>54.79</v>
      </c>
      <c r="E45" s="13">
        <v>5.351</v>
      </c>
      <c r="F45" s="49">
        <v>17.038</v>
      </c>
      <c r="G45" s="49">
        <f t="shared" si="1"/>
        <v>1216.4959999999999</v>
      </c>
      <c r="H45" s="13">
        <v>29.41</v>
      </c>
      <c r="I45" s="13">
        <f>(208170+28663)/1000</f>
        <v>236.833</v>
      </c>
      <c r="J45" s="13">
        <v>60.811</v>
      </c>
      <c r="K45" s="13">
        <v>167.646</v>
      </c>
      <c r="L45" s="13">
        <v>94.501</v>
      </c>
      <c r="M45" s="13">
        <v>70.749</v>
      </c>
      <c r="N45" s="13">
        <v>54.44</v>
      </c>
      <c r="O45" s="13">
        <v>86.964</v>
      </c>
      <c r="P45" s="13">
        <v>415.142</v>
      </c>
      <c r="Q45" s="49">
        <f t="shared" si="2"/>
        <v>1319.776</v>
      </c>
      <c r="R45" s="13">
        <v>764.438</v>
      </c>
      <c r="S45" s="13">
        <v>345.493</v>
      </c>
      <c r="T45" s="13">
        <v>209.845</v>
      </c>
      <c r="U45" s="49">
        <v>129.143</v>
      </c>
      <c r="V45" s="49">
        <f t="shared" si="3"/>
        <v>762.6930000000001</v>
      </c>
      <c r="W45" s="13">
        <v>722.345</v>
      </c>
      <c r="X45" s="13">
        <v>27.629</v>
      </c>
      <c r="Y45" s="13">
        <v>12.719</v>
      </c>
      <c r="Z45" s="49">
        <v>11.696</v>
      </c>
      <c r="AA45" s="49">
        <f t="shared" si="4"/>
        <v>436.81300000000005</v>
      </c>
      <c r="AB45" s="13">
        <v>162.574</v>
      </c>
      <c r="AC45" s="13">
        <v>0.525</v>
      </c>
      <c r="AD45" s="13">
        <v>192.168</v>
      </c>
      <c r="AE45" s="13">
        <v>81.546</v>
      </c>
      <c r="AF45" s="49">
        <v>177.333</v>
      </c>
      <c r="AG45" s="49">
        <v>0</v>
      </c>
      <c r="AH45" s="49">
        <v>450.995</v>
      </c>
      <c r="AI45" s="49">
        <v>61.142</v>
      </c>
      <c r="AJ45" s="49">
        <v>236.932</v>
      </c>
      <c r="AK45" s="49">
        <v>248.588</v>
      </c>
      <c r="AL45" s="49">
        <v>28.782</v>
      </c>
      <c r="AM45" s="14">
        <f t="shared" si="5"/>
        <v>5765.980999999999</v>
      </c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8"/>
      <c r="ED45" s="18"/>
      <c r="EE45" s="18"/>
      <c r="EF45" s="18"/>
      <c r="EG45" s="18"/>
      <c r="EH45" s="18"/>
      <c r="EI45" s="18"/>
      <c r="EJ45" s="18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</row>
    <row r="46" spans="1:159" s="19" customFormat="1" ht="15">
      <c r="A46" s="22">
        <v>32539</v>
      </c>
      <c r="B46" s="49">
        <f t="shared" si="0"/>
        <v>691.867</v>
      </c>
      <c r="C46" s="13">
        <f>(61477+70968+33552+40993+139646+32328+251181)/1000</f>
        <v>630.145</v>
      </c>
      <c r="D46" s="13">
        <f>(42368+14752)/1000</f>
        <v>57.12</v>
      </c>
      <c r="E46" s="13">
        <v>4.602</v>
      </c>
      <c r="F46" s="49">
        <v>20.03</v>
      </c>
      <c r="G46" s="49">
        <f t="shared" si="1"/>
        <v>1210.5410000000002</v>
      </c>
      <c r="H46" s="13">
        <v>31.429</v>
      </c>
      <c r="I46" s="13">
        <f>(213729+27264)/1000</f>
        <v>240.993</v>
      </c>
      <c r="J46" s="13">
        <v>62.832</v>
      </c>
      <c r="K46" s="13">
        <v>170.434</v>
      </c>
      <c r="L46" s="13">
        <v>94.618</v>
      </c>
      <c r="M46" s="13">
        <v>66.642</v>
      </c>
      <c r="N46" s="13">
        <v>63.077</v>
      </c>
      <c r="O46" s="13">
        <v>78.636</v>
      </c>
      <c r="P46" s="13">
        <v>401.88</v>
      </c>
      <c r="Q46" s="49">
        <f t="shared" si="2"/>
        <v>1330.671</v>
      </c>
      <c r="R46" s="13">
        <v>799.855</v>
      </c>
      <c r="S46" s="13">
        <v>337.13</v>
      </c>
      <c r="T46" s="13">
        <v>193.686</v>
      </c>
      <c r="U46" s="49">
        <v>92.308</v>
      </c>
      <c r="V46" s="49">
        <f t="shared" si="3"/>
        <v>763.117</v>
      </c>
      <c r="W46" s="13">
        <v>726.144</v>
      </c>
      <c r="X46" s="13">
        <v>25.64</v>
      </c>
      <c r="Y46" s="13">
        <v>11.333</v>
      </c>
      <c r="Z46" s="49">
        <v>8.66</v>
      </c>
      <c r="AA46" s="49">
        <f t="shared" si="4"/>
        <v>341.46099999999996</v>
      </c>
      <c r="AB46" s="13">
        <v>163.003</v>
      </c>
      <c r="AC46" s="13">
        <v>0.547</v>
      </c>
      <c r="AD46" s="13">
        <v>82.146</v>
      </c>
      <c r="AE46" s="13">
        <v>95.765</v>
      </c>
      <c r="AF46" s="49">
        <v>185.106</v>
      </c>
      <c r="AG46" s="49">
        <v>0</v>
      </c>
      <c r="AH46" s="49">
        <v>438.281</v>
      </c>
      <c r="AI46" s="49">
        <v>63.118</v>
      </c>
      <c r="AJ46" s="49">
        <v>246.561</v>
      </c>
      <c r="AK46" s="49">
        <v>253.494</v>
      </c>
      <c r="AL46" s="49">
        <v>26.194</v>
      </c>
      <c r="AM46" s="14">
        <f t="shared" si="5"/>
        <v>5671.409000000001</v>
      </c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8"/>
      <c r="ED46" s="18"/>
      <c r="EE46" s="18"/>
      <c r="EF46" s="18"/>
      <c r="EG46" s="18"/>
      <c r="EH46" s="18"/>
      <c r="EI46" s="18"/>
      <c r="EJ46" s="18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</row>
    <row r="47" spans="1:159" s="19" customFormat="1" ht="15">
      <c r="A47" s="22">
        <v>32567</v>
      </c>
      <c r="B47" s="49">
        <f t="shared" si="0"/>
        <v>684.077</v>
      </c>
      <c r="C47" s="13">
        <f>(57238+67699+34638+50470+126512+32150+258004)/1000</f>
        <v>626.711</v>
      </c>
      <c r="D47" s="13">
        <f>(43335+10598)/1000</f>
        <v>53.933</v>
      </c>
      <c r="E47" s="13">
        <v>3.433</v>
      </c>
      <c r="F47" s="49">
        <v>21.216</v>
      </c>
      <c r="G47" s="49">
        <f t="shared" si="1"/>
        <v>1218.85</v>
      </c>
      <c r="H47" s="13">
        <v>37.226</v>
      </c>
      <c r="I47" s="13">
        <f>(202714+24494)/1000</f>
        <v>227.208</v>
      </c>
      <c r="J47" s="13">
        <v>65.213</v>
      </c>
      <c r="K47" s="13">
        <v>164.974</v>
      </c>
      <c r="L47" s="13">
        <v>93.669</v>
      </c>
      <c r="M47" s="13">
        <v>63.74</v>
      </c>
      <c r="N47" s="13">
        <v>46.375</v>
      </c>
      <c r="O47" s="13">
        <v>77.787</v>
      </c>
      <c r="P47" s="13">
        <v>442.658</v>
      </c>
      <c r="Q47" s="49">
        <f t="shared" si="2"/>
        <v>1332.238</v>
      </c>
      <c r="R47" s="13">
        <v>775.003</v>
      </c>
      <c r="S47" s="13">
        <v>345.401</v>
      </c>
      <c r="T47" s="13">
        <v>211.834</v>
      </c>
      <c r="U47" s="49">
        <v>143.579</v>
      </c>
      <c r="V47" s="49">
        <f t="shared" si="3"/>
        <v>763.147</v>
      </c>
      <c r="W47" s="13">
        <v>722.364</v>
      </c>
      <c r="X47" s="13">
        <v>28.652</v>
      </c>
      <c r="Y47" s="13">
        <v>12.131</v>
      </c>
      <c r="Z47" s="49">
        <v>8.493</v>
      </c>
      <c r="AA47" s="49">
        <f t="shared" si="4"/>
        <v>478.411</v>
      </c>
      <c r="AB47" s="13">
        <v>155.081</v>
      </c>
      <c r="AC47" s="13">
        <v>0</v>
      </c>
      <c r="AD47" s="13">
        <v>201.731</v>
      </c>
      <c r="AE47" s="13">
        <v>121.599</v>
      </c>
      <c r="AF47" s="49">
        <v>200.479</v>
      </c>
      <c r="AG47" s="49">
        <v>0</v>
      </c>
      <c r="AH47" s="49">
        <v>451.956</v>
      </c>
      <c r="AI47" s="49">
        <v>70.232</v>
      </c>
      <c r="AJ47" s="49">
        <v>255.932</v>
      </c>
      <c r="AK47" s="49">
        <v>255.163</v>
      </c>
      <c r="AL47" s="49">
        <v>28.98</v>
      </c>
      <c r="AM47" s="14">
        <f t="shared" si="5"/>
        <v>5912.753000000001</v>
      </c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8"/>
      <c r="ED47" s="18"/>
      <c r="EE47" s="18"/>
      <c r="EF47" s="18"/>
      <c r="EG47" s="18"/>
      <c r="EH47" s="18"/>
      <c r="EI47" s="18"/>
      <c r="EJ47" s="18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</row>
    <row r="48" spans="1:159" s="19" customFormat="1" ht="15">
      <c r="A48" s="22">
        <v>32598</v>
      </c>
      <c r="B48" s="49">
        <f t="shared" si="0"/>
        <v>704.327</v>
      </c>
      <c r="C48" s="13">
        <f>(64968+44685+38171+60561+121263+36844+282566)/1000</f>
        <v>649.058</v>
      </c>
      <c r="D48" s="13">
        <f>(40421+10680)/1000</f>
        <v>51.101</v>
      </c>
      <c r="E48" s="13">
        <v>4.168</v>
      </c>
      <c r="F48" s="49">
        <v>19.491</v>
      </c>
      <c r="G48" s="49">
        <f t="shared" si="1"/>
        <v>1189.24</v>
      </c>
      <c r="H48" s="13">
        <v>36.856</v>
      </c>
      <c r="I48" s="13">
        <f>(196233+22051)/1000</f>
        <v>218.284</v>
      </c>
      <c r="J48" s="13">
        <v>68.11</v>
      </c>
      <c r="K48" s="13">
        <v>158.988</v>
      </c>
      <c r="L48" s="13">
        <v>82.222</v>
      </c>
      <c r="M48" s="13">
        <v>59.474</v>
      </c>
      <c r="N48" s="13">
        <v>39.872</v>
      </c>
      <c r="O48" s="13">
        <v>94.5</v>
      </c>
      <c r="P48" s="13">
        <v>430.934</v>
      </c>
      <c r="Q48" s="49">
        <f t="shared" si="2"/>
        <v>1406.4530000000002</v>
      </c>
      <c r="R48" s="13">
        <v>830.586</v>
      </c>
      <c r="S48" s="13">
        <v>345.919</v>
      </c>
      <c r="T48" s="13">
        <v>229.948</v>
      </c>
      <c r="U48" s="49">
        <v>145.655</v>
      </c>
      <c r="V48" s="49">
        <f t="shared" si="3"/>
        <v>780.519</v>
      </c>
      <c r="W48" s="13">
        <v>733.498</v>
      </c>
      <c r="X48" s="13">
        <v>32.043</v>
      </c>
      <c r="Y48" s="13">
        <v>14.978</v>
      </c>
      <c r="Z48" s="49">
        <v>38.971</v>
      </c>
      <c r="AA48" s="49">
        <f t="shared" si="4"/>
        <v>467.21000000000004</v>
      </c>
      <c r="AB48" s="13">
        <v>156.953</v>
      </c>
      <c r="AC48" s="13">
        <v>0</v>
      </c>
      <c r="AD48" s="13">
        <v>173.744</v>
      </c>
      <c r="AE48" s="13">
        <v>136.513</v>
      </c>
      <c r="AF48" s="49">
        <v>205.9</v>
      </c>
      <c r="AG48" s="49">
        <v>0</v>
      </c>
      <c r="AH48" s="49">
        <v>468.473</v>
      </c>
      <c r="AI48" s="49">
        <v>67.327</v>
      </c>
      <c r="AJ48" s="49">
        <v>276.903</v>
      </c>
      <c r="AK48" s="49">
        <v>262.154</v>
      </c>
      <c r="AL48" s="49">
        <v>27.811</v>
      </c>
      <c r="AM48" s="14">
        <f t="shared" si="5"/>
        <v>6060.433999999999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8"/>
      <c r="ED48" s="18"/>
      <c r="EE48" s="18"/>
      <c r="EF48" s="18"/>
      <c r="EG48" s="18"/>
      <c r="EH48" s="18"/>
      <c r="EI48" s="18"/>
      <c r="EJ48" s="18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</row>
    <row r="49" spans="1:159" s="19" customFormat="1" ht="15">
      <c r="A49" s="22">
        <v>32628</v>
      </c>
      <c r="B49" s="49">
        <f t="shared" si="0"/>
        <v>693.668</v>
      </c>
      <c r="C49" s="13">
        <f>(66842+45507+38504+60588+127979+30815+279572)/1000</f>
        <v>649.807</v>
      </c>
      <c r="D49" s="13">
        <f>(30592+10181)/1000</f>
        <v>40.773</v>
      </c>
      <c r="E49" s="13">
        <v>3.088</v>
      </c>
      <c r="F49" s="49">
        <v>20.662</v>
      </c>
      <c r="G49" s="49">
        <f t="shared" si="1"/>
        <v>1159.399</v>
      </c>
      <c r="H49" s="13">
        <v>38.319</v>
      </c>
      <c r="I49" s="13">
        <f>(195725+18255)/1000</f>
        <v>213.98</v>
      </c>
      <c r="J49" s="13">
        <v>56.69</v>
      </c>
      <c r="K49" s="13">
        <v>148.232</v>
      </c>
      <c r="L49" s="13">
        <v>91.153</v>
      </c>
      <c r="M49" s="13">
        <v>66.979</v>
      </c>
      <c r="N49" s="13">
        <v>42.512</v>
      </c>
      <c r="O49" s="13">
        <v>79.808</v>
      </c>
      <c r="P49" s="13">
        <v>421.726</v>
      </c>
      <c r="Q49" s="49">
        <f t="shared" si="2"/>
        <v>1418.663</v>
      </c>
      <c r="R49" s="13">
        <v>846.364</v>
      </c>
      <c r="S49" s="13">
        <v>335.943</v>
      </c>
      <c r="T49" s="13">
        <v>236.356</v>
      </c>
      <c r="U49" s="49">
        <v>149.843</v>
      </c>
      <c r="V49" s="49">
        <f t="shared" si="3"/>
        <v>841.127</v>
      </c>
      <c r="W49" s="13">
        <v>782.438</v>
      </c>
      <c r="X49" s="13">
        <v>28.808</v>
      </c>
      <c r="Y49" s="13">
        <v>29.881</v>
      </c>
      <c r="Z49" s="49">
        <v>24.321</v>
      </c>
      <c r="AA49" s="49">
        <f t="shared" si="4"/>
        <v>450.901</v>
      </c>
      <c r="AB49" s="13">
        <v>156.598</v>
      </c>
      <c r="AC49" s="13">
        <v>0</v>
      </c>
      <c r="AD49" s="13">
        <v>191.474</v>
      </c>
      <c r="AE49" s="13">
        <v>102.829</v>
      </c>
      <c r="AF49" s="49">
        <v>224.182</v>
      </c>
      <c r="AG49" s="49">
        <v>0</v>
      </c>
      <c r="AH49" s="49">
        <v>476.437</v>
      </c>
      <c r="AI49" s="49">
        <v>70.823</v>
      </c>
      <c r="AJ49" s="49">
        <v>270.957</v>
      </c>
      <c r="AK49" s="49">
        <v>277.984</v>
      </c>
      <c r="AL49" s="49">
        <v>43.528</v>
      </c>
      <c r="AM49" s="14">
        <f t="shared" si="5"/>
        <v>6122.495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8"/>
      <c r="ED49" s="18"/>
      <c r="EE49" s="18"/>
      <c r="EF49" s="18"/>
      <c r="EG49" s="18"/>
      <c r="EH49" s="18"/>
      <c r="EI49" s="18"/>
      <c r="EJ49" s="18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</row>
    <row r="50" spans="1:159" s="19" customFormat="1" ht="15">
      <c r="A50" s="22">
        <v>32659</v>
      </c>
      <c r="B50" s="49">
        <f t="shared" si="0"/>
        <v>707.1899999999999</v>
      </c>
      <c r="C50" s="13">
        <f>(68977+45543+37827+65123+121559+36546+280980)/1000</f>
        <v>656.555</v>
      </c>
      <c r="D50" s="13">
        <f>(39670+8459)/1000</f>
        <v>48.129</v>
      </c>
      <c r="E50" s="13">
        <v>2.506</v>
      </c>
      <c r="F50" s="49">
        <v>22.004</v>
      </c>
      <c r="G50" s="49">
        <f t="shared" si="1"/>
        <v>1251.762</v>
      </c>
      <c r="H50" s="13">
        <v>39.311</v>
      </c>
      <c r="I50" s="13">
        <f>(210985+30470)/1000</f>
        <v>241.455</v>
      </c>
      <c r="J50" s="13">
        <v>56.968</v>
      </c>
      <c r="K50" s="13">
        <v>156.772</v>
      </c>
      <c r="L50" s="13">
        <v>89.564</v>
      </c>
      <c r="M50" s="13">
        <v>64.502</v>
      </c>
      <c r="N50" s="13">
        <v>40.8</v>
      </c>
      <c r="O50" s="13">
        <v>77.337</v>
      </c>
      <c r="P50" s="13">
        <v>485.053</v>
      </c>
      <c r="Q50" s="49">
        <f t="shared" si="2"/>
        <v>1489.47</v>
      </c>
      <c r="R50" s="13">
        <v>901.478</v>
      </c>
      <c r="S50" s="13">
        <v>350.869</v>
      </c>
      <c r="T50" s="13">
        <v>237.123</v>
      </c>
      <c r="U50" s="49">
        <v>171.299</v>
      </c>
      <c r="V50" s="49">
        <f t="shared" si="3"/>
        <v>870.458</v>
      </c>
      <c r="W50" s="13">
        <v>814.404</v>
      </c>
      <c r="X50" s="13">
        <v>42.343</v>
      </c>
      <c r="Y50" s="13">
        <v>13.711</v>
      </c>
      <c r="Z50" s="49">
        <v>14.253</v>
      </c>
      <c r="AA50" s="49">
        <f t="shared" si="4"/>
        <v>461.739</v>
      </c>
      <c r="AB50" s="13">
        <v>156.674</v>
      </c>
      <c r="AC50" s="13">
        <v>0</v>
      </c>
      <c r="AD50" s="13">
        <v>191.885</v>
      </c>
      <c r="AE50" s="13">
        <v>113.18</v>
      </c>
      <c r="AF50" s="49">
        <v>223.801</v>
      </c>
      <c r="AG50" s="49">
        <v>0</v>
      </c>
      <c r="AH50" s="49">
        <v>480.815</v>
      </c>
      <c r="AI50" s="49">
        <v>69.799</v>
      </c>
      <c r="AJ50" s="49">
        <v>294.348</v>
      </c>
      <c r="AK50" s="49">
        <v>290.887</v>
      </c>
      <c r="AL50" s="49">
        <v>42.926</v>
      </c>
      <c r="AM50" s="14">
        <f t="shared" si="5"/>
        <v>6390.750999999999</v>
      </c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8"/>
      <c r="ED50" s="18"/>
      <c r="EE50" s="18"/>
      <c r="EF50" s="18"/>
      <c r="EG50" s="18"/>
      <c r="EH50" s="18"/>
      <c r="EI50" s="18"/>
      <c r="EJ50" s="18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</row>
    <row r="51" spans="1:159" s="19" customFormat="1" ht="15">
      <c r="A51" s="22">
        <v>32689</v>
      </c>
      <c r="B51" s="49">
        <f t="shared" si="0"/>
        <v>726.578</v>
      </c>
      <c r="C51" s="13">
        <f>(71031+44622+34242+66628+121864+41160+294382)/1000</f>
        <v>673.929</v>
      </c>
      <c r="D51" s="13">
        <f>(39465+10284)/1000</f>
        <v>49.749</v>
      </c>
      <c r="E51" s="13">
        <v>2.9</v>
      </c>
      <c r="F51" s="49">
        <v>23.952</v>
      </c>
      <c r="G51" s="49">
        <f t="shared" si="1"/>
        <v>1319.0880000000002</v>
      </c>
      <c r="H51" s="13">
        <v>43.236</v>
      </c>
      <c r="I51" s="13">
        <f>(205644+40816)/1000</f>
        <v>246.46</v>
      </c>
      <c r="J51" s="13">
        <v>58.193</v>
      </c>
      <c r="K51" s="13">
        <v>158.161</v>
      </c>
      <c r="L51" s="13">
        <v>94.323</v>
      </c>
      <c r="M51" s="13">
        <v>51.474</v>
      </c>
      <c r="N51" s="13">
        <v>40.031</v>
      </c>
      <c r="O51" s="13">
        <v>85.739</v>
      </c>
      <c r="P51" s="13">
        <v>541.471</v>
      </c>
      <c r="Q51" s="49">
        <f t="shared" si="2"/>
        <v>1652.556</v>
      </c>
      <c r="R51" s="13">
        <v>1055.394</v>
      </c>
      <c r="S51" s="13">
        <v>326.728</v>
      </c>
      <c r="T51" s="13">
        <v>270.434</v>
      </c>
      <c r="U51" s="49">
        <v>142.944</v>
      </c>
      <c r="V51" s="49">
        <f t="shared" si="3"/>
        <v>920.315</v>
      </c>
      <c r="W51" s="13">
        <v>862.429</v>
      </c>
      <c r="X51" s="13">
        <v>44.138</v>
      </c>
      <c r="Y51" s="13">
        <v>13.748</v>
      </c>
      <c r="Z51" s="49">
        <v>11.024</v>
      </c>
      <c r="AA51" s="49">
        <f t="shared" si="4"/>
        <v>478.56999999999994</v>
      </c>
      <c r="AB51" s="13">
        <v>159.827</v>
      </c>
      <c r="AC51" s="13">
        <v>0</v>
      </c>
      <c r="AD51" s="13">
        <v>211.16</v>
      </c>
      <c r="AE51" s="13">
        <v>107.583</v>
      </c>
      <c r="AF51" s="49">
        <v>226.013</v>
      </c>
      <c r="AG51" s="49">
        <v>0</v>
      </c>
      <c r="AH51" s="49">
        <v>457.15</v>
      </c>
      <c r="AI51" s="49">
        <v>71.923</v>
      </c>
      <c r="AJ51" s="49">
        <v>296.928</v>
      </c>
      <c r="AK51" s="49">
        <v>303.233</v>
      </c>
      <c r="AL51" s="49">
        <v>41.84</v>
      </c>
      <c r="AM51" s="14">
        <f t="shared" si="5"/>
        <v>6672.1140000000005</v>
      </c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8"/>
      <c r="ED51" s="18"/>
      <c r="EE51" s="18"/>
      <c r="EF51" s="18"/>
      <c r="EG51" s="18"/>
      <c r="EH51" s="18"/>
      <c r="EI51" s="18"/>
      <c r="EJ51" s="18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</row>
    <row r="52" spans="1:159" s="19" customFormat="1" ht="15">
      <c r="A52" s="22">
        <v>32720</v>
      </c>
      <c r="B52" s="49">
        <f t="shared" si="0"/>
        <v>748.423</v>
      </c>
      <c r="C52" s="13">
        <f>(73757+54203+35671+66054+130309+40523+289388)/1000</f>
        <v>689.905</v>
      </c>
      <c r="D52" s="13">
        <f>(42523+13420)/1000</f>
        <v>55.943</v>
      </c>
      <c r="E52" s="13">
        <v>2.575</v>
      </c>
      <c r="F52" s="49">
        <v>25.368</v>
      </c>
      <c r="G52" s="49">
        <f t="shared" si="1"/>
        <v>1340.564</v>
      </c>
      <c r="H52" s="13">
        <v>27.615</v>
      </c>
      <c r="I52" s="13">
        <f>(192932+37059)/1000</f>
        <v>229.991</v>
      </c>
      <c r="J52" s="13">
        <v>59.368</v>
      </c>
      <c r="K52" s="13">
        <v>173.39</v>
      </c>
      <c r="L52" s="13">
        <v>98.439</v>
      </c>
      <c r="M52" s="13">
        <v>58.566</v>
      </c>
      <c r="N52" s="13">
        <v>38.936</v>
      </c>
      <c r="O52" s="13">
        <v>85.834</v>
      </c>
      <c r="P52" s="13">
        <v>568.425</v>
      </c>
      <c r="Q52" s="49">
        <f t="shared" si="2"/>
        <v>1552.786</v>
      </c>
      <c r="R52" s="13">
        <v>937.787</v>
      </c>
      <c r="S52" s="13">
        <v>359.723</v>
      </c>
      <c r="T52" s="13">
        <v>255.276</v>
      </c>
      <c r="U52" s="49">
        <v>210.672</v>
      </c>
      <c r="V52" s="49">
        <f t="shared" si="3"/>
        <v>967.208</v>
      </c>
      <c r="W52" s="13">
        <v>898.53</v>
      </c>
      <c r="X52" s="13">
        <v>38.308</v>
      </c>
      <c r="Y52" s="13">
        <v>30.37</v>
      </c>
      <c r="Z52" s="49">
        <v>10.46</v>
      </c>
      <c r="AA52" s="49">
        <f t="shared" si="4"/>
        <v>470.876</v>
      </c>
      <c r="AB52" s="13">
        <v>157.217</v>
      </c>
      <c r="AC52" s="13">
        <v>0</v>
      </c>
      <c r="AD52" s="13">
        <v>207</v>
      </c>
      <c r="AE52" s="13">
        <v>106.659</v>
      </c>
      <c r="AF52" s="49">
        <v>235.525</v>
      </c>
      <c r="AG52" s="49">
        <v>0</v>
      </c>
      <c r="AH52" s="49">
        <v>492.53</v>
      </c>
      <c r="AI52" s="49">
        <v>91.113</v>
      </c>
      <c r="AJ52" s="49">
        <v>329.636</v>
      </c>
      <c r="AK52" s="49">
        <v>326.991</v>
      </c>
      <c r="AL52" s="49">
        <v>39.031</v>
      </c>
      <c r="AM52" s="14">
        <f t="shared" si="5"/>
        <v>6841.183</v>
      </c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8"/>
      <c r="ED52" s="18"/>
      <c r="EE52" s="18"/>
      <c r="EF52" s="18"/>
      <c r="EG52" s="18"/>
      <c r="EH52" s="18"/>
      <c r="EI52" s="18"/>
      <c r="EJ52" s="18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</row>
    <row r="53" spans="1:159" s="19" customFormat="1" ht="15">
      <c r="A53" s="22">
        <v>32751</v>
      </c>
      <c r="B53" s="49">
        <f t="shared" si="0"/>
        <v>761.692</v>
      </c>
      <c r="C53" s="13">
        <f>(93475+43884+34540+54450+131850+36599+303029)/1000</f>
        <v>697.827</v>
      </c>
      <c r="D53" s="13">
        <f>(44406+12833)/1000</f>
        <v>57.239</v>
      </c>
      <c r="E53" s="13">
        <v>6.626</v>
      </c>
      <c r="F53" s="49">
        <v>24.685</v>
      </c>
      <c r="G53" s="49">
        <f t="shared" si="1"/>
        <v>1393.4920000000002</v>
      </c>
      <c r="H53" s="13">
        <v>21.563</v>
      </c>
      <c r="I53" s="13">
        <f>(204115+36641)/1000</f>
        <v>240.756</v>
      </c>
      <c r="J53" s="13">
        <v>60.873</v>
      </c>
      <c r="K53" s="13">
        <v>172.285</v>
      </c>
      <c r="L53" s="13">
        <v>97.608</v>
      </c>
      <c r="M53" s="13">
        <v>60.121</v>
      </c>
      <c r="N53" s="13">
        <v>38.614</v>
      </c>
      <c r="O53" s="13">
        <v>101.263</v>
      </c>
      <c r="P53" s="13">
        <v>600.409</v>
      </c>
      <c r="Q53" s="49">
        <f t="shared" si="2"/>
        <v>1685.232</v>
      </c>
      <c r="R53" s="13">
        <v>1014.392</v>
      </c>
      <c r="S53" s="13">
        <v>404.837</v>
      </c>
      <c r="T53" s="13">
        <v>266.003</v>
      </c>
      <c r="U53" s="49">
        <v>217.717</v>
      </c>
      <c r="V53" s="49">
        <f t="shared" si="3"/>
        <v>1047.341</v>
      </c>
      <c r="W53" s="13">
        <v>970.102</v>
      </c>
      <c r="X53" s="13">
        <v>43.355</v>
      </c>
      <c r="Y53" s="13">
        <v>33.884</v>
      </c>
      <c r="Z53" s="49">
        <v>11.855</v>
      </c>
      <c r="AA53" s="49">
        <f t="shared" si="4"/>
        <v>503.105</v>
      </c>
      <c r="AB53" s="13">
        <v>158.335</v>
      </c>
      <c r="AC53" s="13">
        <v>0</v>
      </c>
      <c r="AD53" s="13">
        <v>211.614</v>
      </c>
      <c r="AE53" s="13">
        <v>133.156</v>
      </c>
      <c r="AF53" s="49">
        <v>251.918</v>
      </c>
      <c r="AG53" s="49">
        <v>0</v>
      </c>
      <c r="AH53" s="49">
        <v>539.336</v>
      </c>
      <c r="AI53" s="49">
        <v>87.365</v>
      </c>
      <c r="AJ53" s="49">
        <v>349.764</v>
      </c>
      <c r="AK53" s="49">
        <v>346.067</v>
      </c>
      <c r="AL53" s="49">
        <v>45.642</v>
      </c>
      <c r="AM53" s="14">
        <f t="shared" si="5"/>
        <v>7265.210999999998</v>
      </c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8"/>
      <c r="ED53" s="18"/>
      <c r="EE53" s="18"/>
      <c r="EF53" s="18"/>
      <c r="EG53" s="18"/>
      <c r="EH53" s="18"/>
      <c r="EI53" s="18"/>
      <c r="EJ53" s="18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</row>
    <row r="54" spans="1:159" s="19" customFormat="1" ht="15">
      <c r="A54" s="22">
        <v>32781</v>
      </c>
      <c r="B54" s="49">
        <f t="shared" si="0"/>
        <v>740.0360000000001</v>
      </c>
      <c r="C54" s="13">
        <f>(74854+35441+31068+51488+124396+38343+310524)/1000</f>
        <v>666.114</v>
      </c>
      <c r="D54" s="13">
        <f>(40858+22873)/1000</f>
        <v>63.731</v>
      </c>
      <c r="E54" s="13">
        <v>10.191</v>
      </c>
      <c r="F54" s="49">
        <v>30.696</v>
      </c>
      <c r="G54" s="49">
        <f t="shared" si="1"/>
        <v>1520.7690000000002</v>
      </c>
      <c r="H54" s="13">
        <v>34.078</v>
      </c>
      <c r="I54" s="13">
        <f>(234762+30694)/1000</f>
        <v>265.456</v>
      </c>
      <c r="J54" s="13">
        <v>63.877</v>
      </c>
      <c r="K54" s="13">
        <v>194.386</v>
      </c>
      <c r="L54" s="13">
        <v>104.663</v>
      </c>
      <c r="M54" s="13">
        <v>58.753</v>
      </c>
      <c r="N54" s="13">
        <v>30.476</v>
      </c>
      <c r="O54" s="13">
        <v>100.225</v>
      </c>
      <c r="P54" s="13">
        <v>668.855</v>
      </c>
      <c r="Q54" s="49">
        <f t="shared" si="2"/>
        <v>1856.708</v>
      </c>
      <c r="R54" s="13">
        <v>1147.202</v>
      </c>
      <c r="S54" s="13">
        <v>435.431</v>
      </c>
      <c r="T54" s="13">
        <v>274.075</v>
      </c>
      <c r="U54" s="49">
        <v>211.286</v>
      </c>
      <c r="V54" s="49">
        <f t="shared" si="3"/>
        <v>1057.102</v>
      </c>
      <c r="W54" s="13">
        <v>971.056</v>
      </c>
      <c r="X54" s="13">
        <v>48.818</v>
      </c>
      <c r="Y54" s="13">
        <v>37.228</v>
      </c>
      <c r="Z54" s="49">
        <v>14.878</v>
      </c>
      <c r="AA54" s="49">
        <f t="shared" si="4"/>
        <v>524.3879999999999</v>
      </c>
      <c r="AB54" s="13">
        <v>153.89</v>
      </c>
      <c r="AC54" s="13">
        <v>0</v>
      </c>
      <c r="AD54" s="13">
        <v>232.748</v>
      </c>
      <c r="AE54" s="13">
        <v>137.75</v>
      </c>
      <c r="AF54" s="49">
        <v>254.34</v>
      </c>
      <c r="AG54" s="49">
        <v>0</v>
      </c>
      <c r="AH54" s="49">
        <v>536.688</v>
      </c>
      <c r="AI54" s="49">
        <v>80.083</v>
      </c>
      <c r="AJ54" s="49">
        <v>353.275</v>
      </c>
      <c r="AK54" s="49">
        <v>331.663</v>
      </c>
      <c r="AL54" s="49">
        <v>55.823</v>
      </c>
      <c r="AM54" s="14">
        <f t="shared" si="5"/>
        <v>7567.735000000001</v>
      </c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8"/>
      <c r="ED54" s="18"/>
      <c r="EE54" s="18"/>
      <c r="EF54" s="18"/>
      <c r="EG54" s="18"/>
      <c r="EH54" s="18"/>
      <c r="EI54" s="18"/>
      <c r="EJ54" s="18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</row>
    <row r="55" spans="1:159" s="19" customFormat="1" ht="15">
      <c r="A55" s="22">
        <v>32812</v>
      </c>
      <c r="B55" s="49">
        <f t="shared" si="0"/>
        <v>758.498</v>
      </c>
      <c r="C55" s="13">
        <f>(72309+39146+30512+49869+128291+30163+331948)/1000</f>
        <v>682.238</v>
      </c>
      <c r="D55" s="13">
        <f>(40909+22940)/1000</f>
        <v>63.849</v>
      </c>
      <c r="E55" s="13">
        <v>12.411</v>
      </c>
      <c r="F55" s="49">
        <v>31.726</v>
      </c>
      <c r="G55" s="49">
        <f t="shared" si="1"/>
        <v>1531.783</v>
      </c>
      <c r="H55" s="13">
        <v>41.078</v>
      </c>
      <c r="I55" s="13">
        <f>(258853+28373)/1000</f>
        <v>287.226</v>
      </c>
      <c r="J55" s="13">
        <v>66.299</v>
      </c>
      <c r="K55" s="13">
        <v>171.438</v>
      </c>
      <c r="L55" s="13">
        <v>104.676</v>
      </c>
      <c r="M55" s="13">
        <v>64.12</v>
      </c>
      <c r="N55" s="13">
        <v>39.167</v>
      </c>
      <c r="O55" s="13">
        <v>108.973</v>
      </c>
      <c r="P55" s="13">
        <v>648.806</v>
      </c>
      <c r="Q55" s="49">
        <f t="shared" si="2"/>
        <v>1922.9990000000003</v>
      </c>
      <c r="R55" s="13">
        <v>1156.468</v>
      </c>
      <c r="S55" s="13">
        <v>472.412</v>
      </c>
      <c r="T55" s="13">
        <v>294.119</v>
      </c>
      <c r="U55" s="49">
        <v>145.404</v>
      </c>
      <c r="V55" s="49">
        <f t="shared" si="3"/>
        <v>1130.559</v>
      </c>
      <c r="W55" s="13">
        <v>1052.232</v>
      </c>
      <c r="X55" s="13">
        <v>41.544</v>
      </c>
      <c r="Y55" s="13">
        <v>36.783</v>
      </c>
      <c r="Z55" s="49">
        <v>13.272</v>
      </c>
      <c r="AA55" s="49">
        <f t="shared" si="4"/>
        <v>491.962</v>
      </c>
      <c r="AB55" s="13">
        <v>142.316</v>
      </c>
      <c r="AC55" s="13">
        <v>0</v>
      </c>
      <c r="AD55" s="13">
        <v>211.805</v>
      </c>
      <c r="AE55" s="13">
        <v>137.841</v>
      </c>
      <c r="AF55" s="49">
        <v>253.848</v>
      </c>
      <c r="AG55" s="49">
        <v>0</v>
      </c>
      <c r="AH55" s="49">
        <v>556.15</v>
      </c>
      <c r="AI55" s="49">
        <v>76.06</v>
      </c>
      <c r="AJ55" s="49">
        <v>367.823</v>
      </c>
      <c r="AK55" s="49">
        <v>334.988</v>
      </c>
      <c r="AL55" s="49">
        <v>68.723</v>
      </c>
      <c r="AM55" s="14">
        <f t="shared" si="5"/>
        <v>7683.795</v>
      </c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8"/>
      <c r="ED55" s="18"/>
      <c r="EE55" s="18"/>
      <c r="EF55" s="18"/>
      <c r="EG55" s="18"/>
      <c r="EH55" s="18"/>
      <c r="EI55" s="18"/>
      <c r="EJ55" s="18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</row>
    <row r="56" spans="1:159" s="19" customFormat="1" ht="15">
      <c r="A56" s="22">
        <v>32842</v>
      </c>
      <c r="B56" s="49">
        <f t="shared" si="0"/>
        <v>751.927</v>
      </c>
      <c r="C56" s="13">
        <v>668.448</v>
      </c>
      <c r="D56" s="13">
        <f>(44351+25344)/1000</f>
        <v>69.695</v>
      </c>
      <c r="E56" s="13">
        <v>13.784</v>
      </c>
      <c r="F56" s="49">
        <v>36.956</v>
      </c>
      <c r="G56" s="49">
        <f t="shared" si="1"/>
        <v>1483.451</v>
      </c>
      <c r="H56" s="13">
        <v>39.492</v>
      </c>
      <c r="I56" s="13">
        <f>(240700+36511)/1000</f>
        <v>277.211</v>
      </c>
      <c r="J56" s="13">
        <v>69.813</v>
      </c>
      <c r="K56" s="13">
        <v>164.616</v>
      </c>
      <c r="L56" s="13">
        <v>97.848</v>
      </c>
      <c r="M56" s="13">
        <v>64.858</v>
      </c>
      <c r="N56" s="13">
        <v>43.609</v>
      </c>
      <c r="O56" s="13">
        <v>107.461</v>
      </c>
      <c r="P56" s="13">
        <v>618.543</v>
      </c>
      <c r="Q56" s="49">
        <f t="shared" si="2"/>
        <v>1904.007</v>
      </c>
      <c r="R56" s="13">
        <v>1169.516</v>
      </c>
      <c r="S56" s="13">
        <v>449.561</v>
      </c>
      <c r="T56" s="13">
        <v>284.93</v>
      </c>
      <c r="U56" s="49">
        <v>121.438</v>
      </c>
      <c r="V56" s="49">
        <f t="shared" si="3"/>
        <v>1207.153</v>
      </c>
      <c r="W56" s="13">
        <v>1127.677</v>
      </c>
      <c r="X56" s="13">
        <v>41.016</v>
      </c>
      <c r="Y56" s="13">
        <v>38.46</v>
      </c>
      <c r="Z56" s="49">
        <v>10.524</v>
      </c>
      <c r="AA56" s="49">
        <f t="shared" si="4"/>
        <v>522.105</v>
      </c>
      <c r="AB56" s="13">
        <v>141.436</v>
      </c>
      <c r="AC56" s="13">
        <v>0.002</v>
      </c>
      <c r="AD56" s="13">
        <v>241.483</v>
      </c>
      <c r="AE56" s="13">
        <v>139.184</v>
      </c>
      <c r="AF56" s="49">
        <v>253.811</v>
      </c>
      <c r="AG56" s="49">
        <v>0</v>
      </c>
      <c r="AH56" s="49">
        <v>523.325</v>
      </c>
      <c r="AI56" s="49">
        <v>65.817</v>
      </c>
      <c r="AJ56" s="49">
        <v>333.509</v>
      </c>
      <c r="AK56" s="49">
        <v>332.567</v>
      </c>
      <c r="AL56" s="49">
        <v>88.391</v>
      </c>
      <c r="AM56" s="14">
        <f t="shared" si="5"/>
        <v>7634.981000000001</v>
      </c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8"/>
      <c r="ED56" s="18"/>
      <c r="EE56" s="18"/>
      <c r="EF56" s="18"/>
      <c r="EG56" s="18"/>
      <c r="EH56" s="18"/>
      <c r="EI56" s="18"/>
      <c r="EJ56" s="18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</row>
    <row r="57" spans="1:159" s="19" customFormat="1" ht="15">
      <c r="A57" s="22">
        <v>32873</v>
      </c>
      <c r="B57" s="49">
        <f t="shared" si="0"/>
        <v>702.144</v>
      </c>
      <c r="C57" s="13">
        <f>(78707+47334+39068+111762+132699+40682+149243)/1000</f>
        <v>599.495</v>
      </c>
      <c r="D57" s="13">
        <f>(50476+34773)/1000</f>
        <v>85.249</v>
      </c>
      <c r="E57" s="13">
        <v>17.4</v>
      </c>
      <c r="F57" s="49">
        <v>33.148</v>
      </c>
      <c r="G57" s="49">
        <f t="shared" si="1"/>
        <v>1462.7</v>
      </c>
      <c r="H57" s="13">
        <v>49.53</v>
      </c>
      <c r="I57" s="13">
        <f>(258994+32930)/1000</f>
        <v>291.924</v>
      </c>
      <c r="J57" s="13">
        <v>69.652</v>
      </c>
      <c r="K57" s="13">
        <v>160.684</v>
      </c>
      <c r="L57" s="13">
        <v>91.522</v>
      </c>
      <c r="M57" s="13">
        <v>69.231</v>
      </c>
      <c r="N57" s="13">
        <v>46.192</v>
      </c>
      <c r="O57" s="13">
        <v>92.361</v>
      </c>
      <c r="P57" s="13">
        <v>591.604</v>
      </c>
      <c r="Q57" s="49">
        <f t="shared" si="2"/>
        <v>1729.1150000000002</v>
      </c>
      <c r="R57" s="13">
        <v>1131.14</v>
      </c>
      <c r="S57" s="13">
        <v>374.361</v>
      </c>
      <c r="T57" s="13">
        <v>223.614</v>
      </c>
      <c r="U57" s="49">
        <v>74.18</v>
      </c>
      <c r="V57" s="49">
        <f t="shared" si="3"/>
        <v>1117.394</v>
      </c>
      <c r="W57" s="13">
        <v>1026.973</v>
      </c>
      <c r="X57" s="13">
        <v>49.143</v>
      </c>
      <c r="Y57" s="13">
        <v>41.278</v>
      </c>
      <c r="Z57" s="49">
        <v>66.137</v>
      </c>
      <c r="AA57" s="49">
        <f t="shared" si="4"/>
        <v>577.723</v>
      </c>
      <c r="AB57" s="13">
        <v>154.804</v>
      </c>
      <c r="AC57" s="13">
        <v>0</v>
      </c>
      <c r="AD57" s="13">
        <v>254.934</v>
      </c>
      <c r="AE57" s="13">
        <v>167.985</v>
      </c>
      <c r="AF57" s="49">
        <v>254.821</v>
      </c>
      <c r="AG57" s="49">
        <v>0</v>
      </c>
      <c r="AH57" s="49">
        <v>612.377</v>
      </c>
      <c r="AI57" s="49">
        <v>73.839</v>
      </c>
      <c r="AJ57" s="49">
        <v>332.791</v>
      </c>
      <c r="AK57" s="49">
        <v>344.537</v>
      </c>
      <c r="AL57" s="49">
        <v>65.54</v>
      </c>
      <c r="AM57" s="14">
        <f t="shared" si="5"/>
        <v>7446.446</v>
      </c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8"/>
      <c r="ED57" s="18"/>
      <c r="EE57" s="18"/>
      <c r="EF57" s="18"/>
      <c r="EG57" s="18"/>
      <c r="EH57" s="18"/>
      <c r="EI57" s="18"/>
      <c r="EJ57" s="18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</row>
    <row r="58" spans="1:159" s="19" customFormat="1" ht="15">
      <c r="A58" s="22">
        <v>32904</v>
      </c>
      <c r="B58" s="49">
        <f t="shared" si="0"/>
        <v>693.6139999999999</v>
      </c>
      <c r="C58" s="13">
        <f>(84114+47871+36648+111818+134991+42517+131075)/1000</f>
        <v>589.034</v>
      </c>
      <c r="D58" s="13">
        <f>(51663+35469)/1000</f>
        <v>87.132</v>
      </c>
      <c r="E58" s="13">
        <v>17.448</v>
      </c>
      <c r="F58" s="49">
        <v>34.829</v>
      </c>
      <c r="G58" s="49">
        <f t="shared" si="1"/>
        <v>1418.9650000000001</v>
      </c>
      <c r="H58" s="13">
        <v>44.566</v>
      </c>
      <c r="I58" s="13">
        <f>(261515+31755)/1000</f>
        <v>293.27</v>
      </c>
      <c r="J58" s="13">
        <v>57.04</v>
      </c>
      <c r="K58" s="13">
        <v>163.223</v>
      </c>
      <c r="L58" s="13">
        <v>93.453</v>
      </c>
      <c r="M58" s="13">
        <v>70.157</v>
      </c>
      <c r="N58" s="13">
        <v>53.246</v>
      </c>
      <c r="O58" s="13">
        <v>91.095</v>
      </c>
      <c r="P58" s="13">
        <v>552.915</v>
      </c>
      <c r="Q58" s="49">
        <f t="shared" si="2"/>
        <v>1791.147</v>
      </c>
      <c r="R58" s="13">
        <v>1187.964</v>
      </c>
      <c r="S58" s="13">
        <v>386.766</v>
      </c>
      <c r="T58" s="13">
        <v>216.417</v>
      </c>
      <c r="U58" s="49">
        <v>92.296</v>
      </c>
      <c r="V58" s="49">
        <f t="shared" si="3"/>
        <v>1122.462</v>
      </c>
      <c r="W58" s="13">
        <v>1024.117</v>
      </c>
      <c r="X58" s="13">
        <v>51.142</v>
      </c>
      <c r="Y58" s="13">
        <v>47.203</v>
      </c>
      <c r="Z58" s="49">
        <v>98.584</v>
      </c>
      <c r="AA58" s="49">
        <f t="shared" si="4"/>
        <v>613.38</v>
      </c>
      <c r="AB58" s="13">
        <v>181.163</v>
      </c>
      <c r="AC58" s="13">
        <v>0</v>
      </c>
      <c r="AD58" s="13">
        <v>266.574</v>
      </c>
      <c r="AE58" s="13">
        <v>165.643</v>
      </c>
      <c r="AF58" s="49">
        <v>273.287</v>
      </c>
      <c r="AG58" s="49">
        <v>0</v>
      </c>
      <c r="AH58" s="49">
        <v>597.842</v>
      </c>
      <c r="AI58" s="49">
        <v>74.507</v>
      </c>
      <c r="AJ58" s="49">
        <v>392.459</v>
      </c>
      <c r="AK58" s="49">
        <v>333.864</v>
      </c>
      <c r="AL58" s="49">
        <v>35.766</v>
      </c>
      <c r="AM58" s="14">
        <f t="shared" si="5"/>
        <v>7573.001999999999</v>
      </c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8"/>
      <c r="ED58" s="18"/>
      <c r="EE58" s="18"/>
      <c r="EF58" s="18"/>
      <c r="EG58" s="18"/>
      <c r="EH58" s="18"/>
      <c r="EI58" s="18"/>
      <c r="EJ58" s="18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</row>
    <row r="59" spans="1:159" s="19" customFormat="1" ht="15">
      <c r="A59" s="22">
        <v>32932</v>
      </c>
      <c r="B59" s="49">
        <f t="shared" si="0"/>
        <v>716.6349999999999</v>
      </c>
      <c r="C59" s="13">
        <f>(83873+73358+35239+96941+138657+44895+125299)/1000</f>
        <v>598.262</v>
      </c>
      <c r="D59" s="13">
        <f>(49606+54900)/1000</f>
        <v>104.506</v>
      </c>
      <c r="E59" s="13">
        <v>13.867</v>
      </c>
      <c r="F59" s="49">
        <v>35.376</v>
      </c>
      <c r="G59" s="49">
        <f t="shared" si="1"/>
        <v>1355.122</v>
      </c>
      <c r="H59" s="13">
        <v>37.865</v>
      </c>
      <c r="I59" s="13">
        <f>(259892+14381)/1000</f>
        <v>274.273</v>
      </c>
      <c r="J59" s="13">
        <v>59.43</v>
      </c>
      <c r="K59" s="13">
        <v>160.785</v>
      </c>
      <c r="L59" s="13">
        <v>90.653</v>
      </c>
      <c r="M59" s="13">
        <v>67.367</v>
      </c>
      <c r="N59" s="13">
        <v>51.797</v>
      </c>
      <c r="O59" s="13">
        <v>87.721</v>
      </c>
      <c r="P59" s="13">
        <v>525.231</v>
      </c>
      <c r="Q59" s="49">
        <f t="shared" si="2"/>
        <v>1844.853</v>
      </c>
      <c r="R59" s="13">
        <v>1229.605</v>
      </c>
      <c r="S59" s="13">
        <v>390.431</v>
      </c>
      <c r="T59" s="13">
        <v>224.817</v>
      </c>
      <c r="U59" s="49">
        <v>201.289</v>
      </c>
      <c r="V59" s="49">
        <f t="shared" si="3"/>
        <v>1009.4419999999999</v>
      </c>
      <c r="W59" s="13">
        <v>912.3</v>
      </c>
      <c r="X59" s="13">
        <v>71.693</v>
      </c>
      <c r="Y59" s="13">
        <v>25.449</v>
      </c>
      <c r="Z59" s="49">
        <v>98.447</v>
      </c>
      <c r="AA59" s="49">
        <f t="shared" si="4"/>
        <v>559.0920000000001</v>
      </c>
      <c r="AB59" s="13">
        <v>154.51</v>
      </c>
      <c r="AC59" s="13">
        <v>0.013</v>
      </c>
      <c r="AD59" s="13">
        <v>266.009</v>
      </c>
      <c r="AE59" s="13">
        <v>138.56</v>
      </c>
      <c r="AF59" s="49">
        <v>290.197</v>
      </c>
      <c r="AG59" s="49">
        <v>0</v>
      </c>
      <c r="AH59" s="49">
        <v>567.739</v>
      </c>
      <c r="AI59" s="49">
        <v>71.556</v>
      </c>
      <c r="AJ59" s="49">
        <v>389.834</v>
      </c>
      <c r="AK59" s="49">
        <v>347.316</v>
      </c>
      <c r="AL59" s="49">
        <v>37.394</v>
      </c>
      <c r="AM59" s="14">
        <f t="shared" si="5"/>
        <v>7524.291999999999</v>
      </c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8"/>
      <c r="ED59" s="18"/>
      <c r="EE59" s="18"/>
      <c r="EF59" s="18"/>
      <c r="EG59" s="18"/>
      <c r="EH59" s="18"/>
      <c r="EI59" s="18"/>
      <c r="EJ59" s="18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</row>
    <row r="60" spans="1:159" s="19" customFormat="1" ht="15">
      <c r="A60" s="22">
        <v>32963</v>
      </c>
      <c r="B60" s="49">
        <f t="shared" si="0"/>
        <v>721.094</v>
      </c>
      <c r="C60" s="13">
        <f>(83131+70617+51698+100935+131378+45125+116591)/1000</f>
        <v>599.475</v>
      </c>
      <c r="D60" s="13">
        <f>(52638+55795)/1000</f>
        <v>108.433</v>
      </c>
      <c r="E60" s="13">
        <v>13.186</v>
      </c>
      <c r="F60" s="49">
        <v>35.149</v>
      </c>
      <c r="G60" s="49">
        <f t="shared" si="1"/>
        <v>1432.616</v>
      </c>
      <c r="H60" s="13">
        <v>47.893</v>
      </c>
      <c r="I60" s="13">
        <f>(262853+12171)/1000</f>
        <v>275.024</v>
      </c>
      <c r="J60" s="13">
        <v>52.865</v>
      </c>
      <c r="K60" s="13">
        <v>162.115</v>
      </c>
      <c r="L60" s="13">
        <v>92.45</v>
      </c>
      <c r="M60" s="13">
        <v>69.669</v>
      </c>
      <c r="N60" s="13">
        <v>49.423</v>
      </c>
      <c r="O60" s="13">
        <v>87.662</v>
      </c>
      <c r="P60" s="13">
        <v>595.515</v>
      </c>
      <c r="Q60" s="49">
        <f t="shared" si="2"/>
        <v>1891.131</v>
      </c>
      <c r="R60" s="13">
        <v>1276.536</v>
      </c>
      <c r="S60" s="13">
        <v>389.817</v>
      </c>
      <c r="T60" s="13">
        <v>224.778</v>
      </c>
      <c r="U60" s="49">
        <v>217.122</v>
      </c>
      <c r="V60" s="49">
        <f t="shared" si="3"/>
        <v>1050.195</v>
      </c>
      <c r="W60" s="13">
        <v>952.995</v>
      </c>
      <c r="X60" s="13">
        <v>70.342</v>
      </c>
      <c r="Y60" s="13">
        <v>26.858</v>
      </c>
      <c r="Z60" s="49">
        <v>115.11</v>
      </c>
      <c r="AA60" s="49">
        <f t="shared" si="4"/>
        <v>551.351</v>
      </c>
      <c r="AB60" s="13">
        <v>170.666</v>
      </c>
      <c r="AC60" s="13">
        <v>0.02</v>
      </c>
      <c r="AD60" s="13">
        <v>272.298</v>
      </c>
      <c r="AE60" s="13">
        <v>108.367</v>
      </c>
      <c r="AF60" s="49">
        <v>295.164</v>
      </c>
      <c r="AG60" s="49">
        <v>0</v>
      </c>
      <c r="AH60" s="49">
        <v>590.192</v>
      </c>
      <c r="AI60" s="49">
        <v>70.545</v>
      </c>
      <c r="AJ60" s="49">
        <v>411.57</v>
      </c>
      <c r="AK60" s="49">
        <v>351.702</v>
      </c>
      <c r="AL60" s="49">
        <v>33.742</v>
      </c>
      <c r="AM60" s="14">
        <f t="shared" si="5"/>
        <v>7766.682999999999</v>
      </c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8"/>
      <c r="ED60" s="18"/>
      <c r="EE60" s="18"/>
      <c r="EF60" s="18"/>
      <c r="EG60" s="18"/>
      <c r="EH60" s="18"/>
      <c r="EI60" s="18"/>
      <c r="EJ60" s="18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</row>
    <row r="61" spans="1:159" s="19" customFormat="1" ht="15">
      <c r="A61" s="22">
        <v>32993</v>
      </c>
      <c r="B61" s="49">
        <f t="shared" si="0"/>
        <v>743.142</v>
      </c>
      <c r="C61" s="13">
        <f>(91581+74028+58653+103527+130354+45159+119568)/1000</f>
        <v>622.87</v>
      </c>
      <c r="D61" s="13">
        <f>(54503+52342)/1000</f>
        <v>106.845</v>
      </c>
      <c r="E61" s="13">
        <v>13.427</v>
      </c>
      <c r="F61" s="49">
        <v>50.837</v>
      </c>
      <c r="G61" s="49">
        <f t="shared" si="1"/>
        <v>1422.4569999999999</v>
      </c>
      <c r="H61" s="13">
        <v>36.057</v>
      </c>
      <c r="I61" s="13">
        <f>(247619+14031)/1000</f>
        <v>261.65</v>
      </c>
      <c r="J61" s="13">
        <v>54.838</v>
      </c>
      <c r="K61" s="13">
        <v>160.982</v>
      </c>
      <c r="L61" s="13">
        <v>88.652</v>
      </c>
      <c r="M61" s="13">
        <v>69.975</v>
      </c>
      <c r="N61" s="13">
        <v>49.473</v>
      </c>
      <c r="O61" s="13">
        <v>98.554</v>
      </c>
      <c r="P61" s="13">
        <v>602.276</v>
      </c>
      <c r="Q61" s="49">
        <f t="shared" si="2"/>
        <v>1871.317</v>
      </c>
      <c r="R61" s="13">
        <v>1304.615</v>
      </c>
      <c r="S61" s="13">
        <v>349.222</v>
      </c>
      <c r="T61" s="13">
        <v>217.48</v>
      </c>
      <c r="U61" s="49">
        <v>222.673</v>
      </c>
      <c r="V61" s="49">
        <f t="shared" si="3"/>
        <v>1031.232</v>
      </c>
      <c r="W61" s="13">
        <v>945.325</v>
      </c>
      <c r="X61" s="13">
        <v>59.41</v>
      </c>
      <c r="Y61" s="13">
        <v>26.497</v>
      </c>
      <c r="Z61" s="49">
        <v>96.697</v>
      </c>
      <c r="AA61" s="49">
        <f t="shared" si="4"/>
        <v>585.0070000000001</v>
      </c>
      <c r="AB61" s="13">
        <v>171.019</v>
      </c>
      <c r="AC61" s="13">
        <v>0.02</v>
      </c>
      <c r="AD61" s="13">
        <v>306.301</v>
      </c>
      <c r="AE61" s="13">
        <v>107.667</v>
      </c>
      <c r="AF61" s="49">
        <v>291.476</v>
      </c>
      <c r="AG61" s="49">
        <v>0</v>
      </c>
      <c r="AH61" s="49">
        <v>609.988</v>
      </c>
      <c r="AI61" s="49">
        <v>87.12</v>
      </c>
      <c r="AJ61" s="49">
        <v>411.394</v>
      </c>
      <c r="AK61" s="49">
        <v>352.134</v>
      </c>
      <c r="AL61" s="49">
        <v>36.429</v>
      </c>
      <c r="AM61" s="14">
        <f t="shared" si="5"/>
        <v>7811.902999999999</v>
      </c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8"/>
      <c r="ED61" s="18"/>
      <c r="EE61" s="18"/>
      <c r="EF61" s="18"/>
      <c r="EG61" s="18"/>
      <c r="EH61" s="18"/>
      <c r="EI61" s="18"/>
      <c r="EJ61" s="18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</row>
    <row r="62" spans="1:159" s="19" customFormat="1" ht="15">
      <c r="A62" s="22">
        <v>33024</v>
      </c>
      <c r="B62" s="49">
        <f t="shared" si="0"/>
        <v>755.897</v>
      </c>
      <c r="C62" s="13">
        <f>(91070+69998+59225+111451+139427+39070+121497)/1000</f>
        <v>631.738</v>
      </c>
      <c r="D62" s="13">
        <v>105.389</v>
      </c>
      <c r="E62" s="13">
        <v>18.77</v>
      </c>
      <c r="F62" s="49">
        <v>51.704</v>
      </c>
      <c r="G62" s="49">
        <f t="shared" si="1"/>
        <v>1393.601</v>
      </c>
      <c r="H62" s="13">
        <v>39.466</v>
      </c>
      <c r="I62" s="13">
        <f>(257053+12799)/1000</f>
        <v>269.852</v>
      </c>
      <c r="J62" s="13">
        <v>56.733</v>
      </c>
      <c r="K62" s="13">
        <v>154.436</v>
      </c>
      <c r="L62" s="13">
        <v>91.229</v>
      </c>
      <c r="M62" s="13">
        <v>68.569</v>
      </c>
      <c r="N62" s="13">
        <v>47.083</v>
      </c>
      <c r="O62" s="13">
        <v>97.605</v>
      </c>
      <c r="P62" s="13">
        <v>568.628</v>
      </c>
      <c r="Q62" s="49">
        <f t="shared" si="2"/>
        <v>1933.515</v>
      </c>
      <c r="R62" s="13">
        <v>1349.945</v>
      </c>
      <c r="S62" s="13">
        <v>363.861</v>
      </c>
      <c r="T62" s="13">
        <v>219.709</v>
      </c>
      <c r="U62" s="49">
        <v>213.115</v>
      </c>
      <c r="V62" s="49">
        <f t="shared" si="3"/>
        <v>1013.3249999999999</v>
      </c>
      <c r="W62" s="13">
        <v>926.458</v>
      </c>
      <c r="X62" s="13">
        <v>59.082</v>
      </c>
      <c r="Y62" s="13">
        <v>27.785</v>
      </c>
      <c r="Z62" s="49">
        <v>106.05</v>
      </c>
      <c r="AA62" s="49">
        <f t="shared" si="4"/>
        <v>626.5430000000001</v>
      </c>
      <c r="AB62" s="13">
        <v>183.357</v>
      </c>
      <c r="AC62" s="13">
        <v>0.025</v>
      </c>
      <c r="AD62" s="13">
        <v>341.971</v>
      </c>
      <c r="AE62" s="13">
        <v>101.19</v>
      </c>
      <c r="AF62" s="49">
        <v>310.42</v>
      </c>
      <c r="AG62" s="49">
        <v>0</v>
      </c>
      <c r="AH62" s="49">
        <v>605.713</v>
      </c>
      <c r="AI62" s="49">
        <v>68.249</v>
      </c>
      <c r="AJ62" s="49">
        <v>421.386</v>
      </c>
      <c r="AK62" s="49">
        <v>354.741</v>
      </c>
      <c r="AL62" s="49">
        <v>53.949</v>
      </c>
      <c r="AM62" s="14">
        <f t="shared" si="5"/>
        <v>7908.208</v>
      </c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8"/>
      <c r="ED62" s="18"/>
      <c r="EE62" s="18"/>
      <c r="EF62" s="18"/>
      <c r="EG62" s="18"/>
      <c r="EH62" s="18"/>
      <c r="EI62" s="18"/>
      <c r="EJ62" s="18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</row>
    <row r="63" spans="1:159" s="19" customFormat="1" ht="15">
      <c r="A63" s="22">
        <v>33054</v>
      </c>
      <c r="B63" s="49">
        <f t="shared" si="0"/>
        <v>772.971</v>
      </c>
      <c r="C63" s="13">
        <f>(94799+75733+53300+116546+131351+42066+137442)/1000</f>
        <v>651.237</v>
      </c>
      <c r="D63" s="13">
        <f>(44155+56907)/1000</f>
        <v>101.062</v>
      </c>
      <c r="E63" s="13">
        <v>20.672</v>
      </c>
      <c r="F63" s="49">
        <v>53.994</v>
      </c>
      <c r="G63" s="49">
        <f t="shared" si="1"/>
        <v>1466.0480000000002</v>
      </c>
      <c r="H63" s="13">
        <v>39.814</v>
      </c>
      <c r="I63" s="13">
        <f>(264746+12753)/1000</f>
        <v>277.499</v>
      </c>
      <c r="J63" s="13">
        <v>56.944</v>
      </c>
      <c r="K63" s="13">
        <v>163.329</v>
      </c>
      <c r="L63" s="13">
        <v>94.273</v>
      </c>
      <c r="M63" s="13">
        <v>69.627</v>
      </c>
      <c r="N63" s="13">
        <v>42.157</v>
      </c>
      <c r="O63" s="13">
        <v>114.113</v>
      </c>
      <c r="P63" s="13">
        <v>608.292</v>
      </c>
      <c r="Q63" s="49">
        <f t="shared" si="2"/>
        <v>1923.397</v>
      </c>
      <c r="R63" s="13">
        <v>1351.983</v>
      </c>
      <c r="S63" s="13">
        <v>357.052</v>
      </c>
      <c r="T63" s="13">
        <v>214.362</v>
      </c>
      <c r="U63" s="49">
        <v>245.938</v>
      </c>
      <c r="V63" s="49">
        <f t="shared" si="3"/>
        <v>1042.55</v>
      </c>
      <c r="W63" s="13">
        <v>954.032</v>
      </c>
      <c r="X63" s="13">
        <v>59.572</v>
      </c>
      <c r="Y63" s="13">
        <v>28.946</v>
      </c>
      <c r="Z63" s="49">
        <v>115.118</v>
      </c>
      <c r="AA63" s="49">
        <f t="shared" si="4"/>
        <v>648.572</v>
      </c>
      <c r="AB63" s="13">
        <v>185.778</v>
      </c>
      <c r="AC63" s="13">
        <v>0.026</v>
      </c>
      <c r="AD63" s="13">
        <v>358.478</v>
      </c>
      <c r="AE63" s="13">
        <v>104.29</v>
      </c>
      <c r="AF63" s="49">
        <v>333.387</v>
      </c>
      <c r="AG63" s="49">
        <v>0</v>
      </c>
      <c r="AH63" s="49">
        <v>610.075</v>
      </c>
      <c r="AI63" s="49">
        <v>62.942</v>
      </c>
      <c r="AJ63" s="49">
        <v>437.485</v>
      </c>
      <c r="AK63" s="49">
        <v>374.435</v>
      </c>
      <c r="AL63" s="49">
        <v>34.012</v>
      </c>
      <c r="AM63" s="14">
        <f t="shared" si="5"/>
        <v>8120.924</v>
      </c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8"/>
      <c r="ED63" s="18"/>
      <c r="EE63" s="18"/>
      <c r="EF63" s="18"/>
      <c r="EG63" s="18"/>
      <c r="EH63" s="18"/>
      <c r="EI63" s="18"/>
      <c r="EJ63" s="18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</row>
    <row r="64" spans="1:159" s="19" customFormat="1" ht="15">
      <c r="A64" s="22">
        <v>33085</v>
      </c>
      <c r="B64" s="49">
        <f t="shared" si="0"/>
        <v>785.0880000000001</v>
      </c>
      <c r="C64" s="13">
        <f>(86255+69808+54973+113034+140977+42714+139530)/1000</f>
        <v>647.291</v>
      </c>
      <c r="D64" s="13">
        <f>(59562+61703)/1000</f>
        <v>121.265</v>
      </c>
      <c r="E64" s="13">
        <v>16.532</v>
      </c>
      <c r="F64" s="49">
        <v>41.172</v>
      </c>
      <c r="G64" s="49">
        <f t="shared" si="1"/>
        <v>1458.6850000000002</v>
      </c>
      <c r="H64" s="13">
        <v>33.75</v>
      </c>
      <c r="I64" s="13">
        <f>(276768+12072)/1000</f>
        <v>288.84</v>
      </c>
      <c r="J64" s="13">
        <v>54.817</v>
      </c>
      <c r="K64" s="13">
        <v>153.491</v>
      </c>
      <c r="L64" s="13">
        <v>93.796</v>
      </c>
      <c r="M64" s="13">
        <v>70.406</v>
      </c>
      <c r="N64" s="13">
        <v>46.072</v>
      </c>
      <c r="O64" s="13">
        <v>122.514</v>
      </c>
      <c r="P64" s="13">
        <v>594.999</v>
      </c>
      <c r="Q64" s="49">
        <f t="shared" si="2"/>
        <v>1985.109</v>
      </c>
      <c r="R64" s="13">
        <v>1381.093</v>
      </c>
      <c r="S64" s="13">
        <v>374.514</v>
      </c>
      <c r="T64" s="13">
        <v>229.502</v>
      </c>
      <c r="U64" s="49">
        <v>218.751</v>
      </c>
      <c r="V64" s="49">
        <f t="shared" si="3"/>
        <v>1075.917</v>
      </c>
      <c r="W64" s="13">
        <v>975.466</v>
      </c>
      <c r="X64" s="13">
        <v>57.498</v>
      </c>
      <c r="Y64" s="13">
        <v>42.953</v>
      </c>
      <c r="Z64" s="49">
        <v>105.999</v>
      </c>
      <c r="AA64" s="49">
        <f t="shared" si="4"/>
        <v>622.524</v>
      </c>
      <c r="AB64" s="13">
        <v>178.853</v>
      </c>
      <c r="AC64" s="13">
        <v>0.027</v>
      </c>
      <c r="AD64" s="13">
        <v>341.111</v>
      </c>
      <c r="AE64" s="13">
        <v>102.533</v>
      </c>
      <c r="AF64" s="49">
        <v>319.939</v>
      </c>
      <c r="AG64" s="49">
        <v>0</v>
      </c>
      <c r="AH64" s="49">
        <v>621.152</v>
      </c>
      <c r="AI64" s="49">
        <v>66.448</v>
      </c>
      <c r="AJ64" s="49">
        <v>469.094</v>
      </c>
      <c r="AK64" s="49">
        <v>393.388</v>
      </c>
      <c r="AL64" s="49">
        <v>31.598</v>
      </c>
      <c r="AM64" s="14">
        <f t="shared" si="5"/>
        <v>8194.864000000001</v>
      </c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8"/>
      <c r="ED64" s="18"/>
      <c r="EE64" s="18"/>
      <c r="EF64" s="18"/>
      <c r="EG64" s="18"/>
      <c r="EH64" s="18"/>
      <c r="EI64" s="18"/>
      <c r="EJ64" s="18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</row>
    <row r="65" spans="1:159" s="19" customFormat="1" ht="15">
      <c r="A65" s="22">
        <v>33116</v>
      </c>
      <c r="B65" s="49">
        <f t="shared" si="0"/>
        <v>798.319</v>
      </c>
      <c r="C65" s="13">
        <f>(89822+72986+56804+105551+139993+43328+152241)/1000</f>
        <v>660.725</v>
      </c>
      <c r="D65" s="13">
        <f>(53171+59046)/1000</f>
        <v>112.217</v>
      </c>
      <c r="E65" s="13">
        <v>25.377</v>
      </c>
      <c r="F65" s="49">
        <v>42.053</v>
      </c>
      <c r="G65" s="49">
        <f t="shared" si="1"/>
        <v>1514.103</v>
      </c>
      <c r="H65" s="13">
        <v>34.75</v>
      </c>
      <c r="I65" s="13">
        <f>(286336+12367)/1000</f>
        <v>298.703</v>
      </c>
      <c r="J65" s="13">
        <v>62.112</v>
      </c>
      <c r="K65" s="13">
        <v>155.237</v>
      </c>
      <c r="L65" s="13">
        <v>94.437</v>
      </c>
      <c r="M65" s="13">
        <v>73.362</v>
      </c>
      <c r="N65" s="13">
        <v>46.223</v>
      </c>
      <c r="O65" s="13">
        <v>125.249</v>
      </c>
      <c r="P65" s="13">
        <v>624.03</v>
      </c>
      <c r="Q65" s="49">
        <f t="shared" si="2"/>
        <v>2034.446</v>
      </c>
      <c r="R65" s="13">
        <v>1429.656</v>
      </c>
      <c r="S65" s="13">
        <v>376.219</v>
      </c>
      <c r="T65" s="13">
        <v>228.571</v>
      </c>
      <c r="U65" s="49">
        <v>210.528</v>
      </c>
      <c r="V65" s="49">
        <f t="shared" si="3"/>
        <v>1077.176</v>
      </c>
      <c r="W65" s="13">
        <v>981.412</v>
      </c>
      <c r="X65" s="13">
        <v>66.675</v>
      </c>
      <c r="Y65" s="13">
        <v>29.089</v>
      </c>
      <c r="Z65" s="49">
        <v>29.148</v>
      </c>
      <c r="AA65" s="49">
        <f t="shared" si="4"/>
        <v>721.423</v>
      </c>
      <c r="AB65" s="13">
        <v>255.897</v>
      </c>
      <c r="AC65" s="13">
        <v>0.027</v>
      </c>
      <c r="AD65" s="13">
        <v>357.538</v>
      </c>
      <c r="AE65" s="13">
        <v>107.961</v>
      </c>
      <c r="AF65" s="49">
        <v>346.002</v>
      </c>
      <c r="AG65" s="49">
        <v>0</v>
      </c>
      <c r="AH65" s="49">
        <v>661.289</v>
      </c>
      <c r="AI65" s="49">
        <v>66.653</v>
      </c>
      <c r="AJ65" s="49">
        <v>471.127</v>
      </c>
      <c r="AK65" s="49">
        <v>420.037</v>
      </c>
      <c r="AL65" s="49">
        <v>36.894</v>
      </c>
      <c r="AM65" s="14">
        <f t="shared" si="5"/>
        <v>8429.198</v>
      </c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8"/>
      <c r="ED65" s="18"/>
      <c r="EE65" s="18"/>
      <c r="EF65" s="18"/>
      <c r="EG65" s="18"/>
      <c r="EH65" s="18"/>
      <c r="EI65" s="18"/>
      <c r="EJ65" s="18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</row>
    <row r="66" spans="1:159" s="19" customFormat="1" ht="15">
      <c r="A66" s="22">
        <v>33146</v>
      </c>
      <c r="B66" s="49">
        <f t="shared" si="0"/>
        <v>824.186</v>
      </c>
      <c r="C66" s="13">
        <f>(88006+73234+59576+112328+145736+40563+163502)/1000</f>
        <v>682.945</v>
      </c>
      <c r="D66" s="13">
        <f>(52935+63763)/1000</f>
        <v>116.698</v>
      </c>
      <c r="E66" s="13">
        <v>24.543</v>
      </c>
      <c r="F66" s="49">
        <v>39.035</v>
      </c>
      <c r="G66" s="49">
        <f t="shared" si="1"/>
        <v>1542.713</v>
      </c>
      <c r="H66" s="13">
        <v>40.842</v>
      </c>
      <c r="I66" s="13">
        <f>(284302+12704)/1000</f>
        <v>297.006</v>
      </c>
      <c r="J66" s="13">
        <v>59.2</v>
      </c>
      <c r="K66" s="13">
        <v>154.413</v>
      </c>
      <c r="L66" s="13">
        <v>97.297</v>
      </c>
      <c r="M66" s="13">
        <v>65.12</v>
      </c>
      <c r="N66" s="13">
        <v>42.049</v>
      </c>
      <c r="O66" s="13">
        <v>144.151</v>
      </c>
      <c r="P66" s="13">
        <v>642.635</v>
      </c>
      <c r="Q66" s="49">
        <f t="shared" si="2"/>
        <v>2037.1399999999999</v>
      </c>
      <c r="R66" s="13">
        <v>1428.878</v>
      </c>
      <c r="S66" s="13">
        <v>375.834</v>
      </c>
      <c r="T66" s="13">
        <v>232.428</v>
      </c>
      <c r="U66" s="49">
        <v>245.975</v>
      </c>
      <c r="V66" s="49">
        <f t="shared" si="3"/>
        <v>1090.272</v>
      </c>
      <c r="W66" s="13">
        <v>983.886</v>
      </c>
      <c r="X66" s="13">
        <v>73.029</v>
      </c>
      <c r="Y66" s="13">
        <v>33.357</v>
      </c>
      <c r="Z66" s="49">
        <v>32.463</v>
      </c>
      <c r="AA66" s="49">
        <f t="shared" si="4"/>
        <v>766.9079999999999</v>
      </c>
      <c r="AB66" s="13">
        <v>420.241</v>
      </c>
      <c r="AC66" s="13">
        <v>0.028</v>
      </c>
      <c r="AD66" s="13">
        <v>255.06</v>
      </c>
      <c r="AE66" s="13">
        <v>91.579</v>
      </c>
      <c r="AF66" s="49">
        <v>360.332</v>
      </c>
      <c r="AG66" s="49">
        <v>0</v>
      </c>
      <c r="AH66" s="49">
        <v>717.67</v>
      </c>
      <c r="AI66" s="49">
        <v>71.279</v>
      </c>
      <c r="AJ66" s="49">
        <v>493.373</v>
      </c>
      <c r="AK66" s="49">
        <v>451.862</v>
      </c>
      <c r="AL66" s="49">
        <v>38.275</v>
      </c>
      <c r="AM66" s="14">
        <f t="shared" si="5"/>
        <v>8711.483</v>
      </c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8"/>
      <c r="ED66" s="18"/>
      <c r="EE66" s="18"/>
      <c r="EF66" s="18"/>
      <c r="EG66" s="18"/>
      <c r="EH66" s="18"/>
      <c r="EI66" s="18"/>
      <c r="EJ66" s="18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</row>
    <row r="67" spans="1:159" s="19" customFormat="1" ht="15">
      <c r="A67" s="22">
        <v>33177</v>
      </c>
      <c r="B67" s="49">
        <f t="shared" si="0"/>
        <v>840.876</v>
      </c>
      <c r="C67" s="13">
        <f>(92165+69925+68219+111441+152571+42623+178442)/1000</f>
        <v>715.386</v>
      </c>
      <c r="D67" s="13">
        <f>(34893+67005)/1000</f>
        <v>101.898</v>
      </c>
      <c r="E67" s="13">
        <v>23.592</v>
      </c>
      <c r="F67" s="49">
        <v>42.615</v>
      </c>
      <c r="G67" s="49">
        <f t="shared" si="1"/>
        <v>1490.3249999999998</v>
      </c>
      <c r="H67" s="13">
        <v>51.735</v>
      </c>
      <c r="I67" s="13">
        <f>(262352+11788)/1000</f>
        <v>274.14</v>
      </c>
      <c r="J67" s="13">
        <v>58.121</v>
      </c>
      <c r="K67" s="13">
        <v>165.095</v>
      </c>
      <c r="L67" s="13">
        <v>98.774</v>
      </c>
      <c r="M67" s="13">
        <v>49.054</v>
      </c>
      <c r="N67" s="13">
        <v>37.645</v>
      </c>
      <c r="O67" s="13">
        <v>139.043</v>
      </c>
      <c r="P67" s="13">
        <v>616.718</v>
      </c>
      <c r="Q67" s="49">
        <f t="shared" si="2"/>
        <v>2098.88</v>
      </c>
      <c r="R67" s="13">
        <v>1468.188</v>
      </c>
      <c r="S67" s="13">
        <v>383.712</v>
      </c>
      <c r="T67" s="13">
        <v>246.98</v>
      </c>
      <c r="U67" s="49">
        <v>207.249</v>
      </c>
      <c r="V67" s="49">
        <f t="shared" si="3"/>
        <v>1094.941</v>
      </c>
      <c r="W67" s="13">
        <v>989.865</v>
      </c>
      <c r="X67" s="13">
        <v>75.885</v>
      </c>
      <c r="Y67" s="13">
        <v>29.191</v>
      </c>
      <c r="Z67" s="49">
        <v>24.309</v>
      </c>
      <c r="AA67" s="49">
        <f t="shared" si="4"/>
        <v>749.54</v>
      </c>
      <c r="AB67" s="13">
        <v>444.552</v>
      </c>
      <c r="AC67" s="13">
        <v>0.029</v>
      </c>
      <c r="AD67" s="13">
        <v>232.775</v>
      </c>
      <c r="AE67" s="13">
        <v>72.184</v>
      </c>
      <c r="AF67" s="49">
        <v>374.772</v>
      </c>
      <c r="AG67" s="49">
        <v>0</v>
      </c>
      <c r="AH67" s="49">
        <v>681.287</v>
      </c>
      <c r="AI67" s="49">
        <v>74.004</v>
      </c>
      <c r="AJ67" s="49">
        <v>526.904</v>
      </c>
      <c r="AK67" s="49">
        <v>472.628</v>
      </c>
      <c r="AL67" s="49">
        <v>42.361</v>
      </c>
      <c r="AM67" s="14">
        <f t="shared" si="5"/>
        <v>8720.691</v>
      </c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8"/>
      <c r="ED67" s="18"/>
      <c r="EE67" s="18"/>
      <c r="EF67" s="18"/>
      <c r="EG67" s="18"/>
      <c r="EH67" s="18"/>
      <c r="EI67" s="18"/>
      <c r="EJ67" s="18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</row>
    <row r="68" spans="1:159" s="19" customFormat="1" ht="15">
      <c r="A68" s="22">
        <v>33207</v>
      </c>
      <c r="B68" s="49">
        <f t="shared" si="0"/>
        <v>886.9590000000001</v>
      </c>
      <c r="C68" s="13">
        <f>(95071+69930+71361+119471+150576+43350+205202)/1000</f>
        <v>754.961</v>
      </c>
      <c r="D68" s="13">
        <f>(39244+69312)/1000</f>
        <v>108.556</v>
      </c>
      <c r="E68" s="13">
        <v>23.442</v>
      </c>
      <c r="F68" s="49">
        <v>41.197</v>
      </c>
      <c r="G68" s="49">
        <f t="shared" si="1"/>
        <v>1512.922</v>
      </c>
      <c r="H68" s="13">
        <v>53.146</v>
      </c>
      <c r="I68" s="13">
        <f>(258187+13771)/1000</f>
        <v>271.958</v>
      </c>
      <c r="J68" s="13">
        <v>58.364</v>
      </c>
      <c r="K68" s="13">
        <v>169.712</v>
      </c>
      <c r="L68" s="13">
        <v>98.918</v>
      </c>
      <c r="M68" s="13">
        <v>62.202</v>
      </c>
      <c r="N68" s="13">
        <v>45.169</v>
      </c>
      <c r="O68" s="13">
        <v>145.726</v>
      </c>
      <c r="P68" s="13">
        <v>607.727</v>
      </c>
      <c r="Q68" s="49">
        <f t="shared" si="2"/>
        <v>2032.315</v>
      </c>
      <c r="R68" s="13">
        <v>1415.73</v>
      </c>
      <c r="S68" s="13">
        <v>376.871</v>
      </c>
      <c r="T68" s="13">
        <v>239.714</v>
      </c>
      <c r="U68" s="49">
        <v>247.344</v>
      </c>
      <c r="V68" s="49">
        <f t="shared" si="3"/>
        <v>1104.049</v>
      </c>
      <c r="W68" s="13">
        <v>995.765</v>
      </c>
      <c r="X68" s="13">
        <v>75.855</v>
      </c>
      <c r="Y68" s="13">
        <v>32.429</v>
      </c>
      <c r="Z68" s="49">
        <v>28.979</v>
      </c>
      <c r="AA68" s="49">
        <f t="shared" si="4"/>
        <v>740.559</v>
      </c>
      <c r="AB68" s="13">
        <v>447.663</v>
      </c>
      <c r="AC68" s="13">
        <v>0.03</v>
      </c>
      <c r="AD68" s="13">
        <v>236.566</v>
      </c>
      <c r="AE68" s="13">
        <v>56.3</v>
      </c>
      <c r="AF68" s="49">
        <v>386.122</v>
      </c>
      <c r="AG68" s="49">
        <v>0</v>
      </c>
      <c r="AH68" s="49">
        <v>714.668</v>
      </c>
      <c r="AI68" s="49">
        <v>75.001</v>
      </c>
      <c r="AJ68" s="49">
        <v>546.983</v>
      </c>
      <c r="AK68" s="49">
        <v>487.585</v>
      </c>
      <c r="AL68" s="49">
        <v>35.308</v>
      </c>
      <c r="AM68" s="14">
        <f t="shared" si="5"/>
        <v>8839.991</v>
      </c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8"/>
      <c r="ED68" s="18"/>
      <c r="EE68" s="18"/>
      <c r="EF68" s="18"/>
      <c r="EG68" s="18"/>
      <c r="EH68" s="18"/>
      <c r="EI68" s="18"/>
      <c r="EJ68" s="18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</row>
    <row r="69" spans="1:159" s="19" customFormat="1" ht="15">
      <c r="A69" s="22">
        <v>33238</v>
      </c>
      <c r="B69" s="49">
        <f t="shared" si="0"/>
        <v>879.669</v>
      </c>
      <c r="C69" s="13">
        <f>(98029+57611+73169+120627+143190+46796+208506)/1000</f>
        <v>747.928</v>
      </c>
      <c r="D69" s="13">
        <f>(42139+69659)/1000</f>
        <v>111.798</v>
      </c>
      <c r="E69" s="13">
        <v>19.943</v>
      </c>
      <c r="F69" s="49">
        <v>31.792</v>
      </c>
      <c r="G69" s="49">
        <f t="shared" si="1"/>
        <v>1535.6799999999998</v>
      </c>
      <c r="H69" s="13">
        <v>68.963</v>
      </c>
      <c r="I69" s="13">
        <f>(266225+11788)/1000</f>
        <v>278.013</v>
      </c>
      <c r="J69" s="13">
        <v>61.431</v>
      </c>
      <c r="K69" s="13">
        <v>168.562</v>
      </c>
      <c r="L69" s="13">
        <v>101.122</v>
      </c>
      <c r="M69" s="13">
        <v>63.454</v>
      </c>
      <c r="N69" s="13">
        <v>44.726</v>
      </c>
      <c r="O69" s="13">
        <v>129.04</v>
      </c>
      <c r="P69" s="13">
        <v>620.369</v>
      </c>
      <c r="Q69" s="49">
        <f t="shared" si="2"/>
        <v>2060.5820000000003</v>
      </c>
      <c r="R69" s="13">
        <v>1427.698</v>
      </c>
      <c r="S69" s="13">
        <v>382.296</v>
      </c>
      <c r="T69" s="13">
        <v>250.588</v>
      </c>
      <c r="U69" s="49">
        <v>234.852</v>
      </c>
      <c r="V69" s="49">
        <f t="shared" si="3"/>
        <v>1088.443</v>
      </c>
      <c r="W69" s="13">
        <v>978.751</v>
      </c>
      <c r="X69" s="13">
        <v>76.191</v>
      </c>
      <c r="Y69" s="13">
        <v>33.501</v>
      </c>
      <c r="Z69" s="49">
        <v>33.79</v>
      </c>
      <c r="AA69" s="49">
        <f t="shared" si="4"/>
        <v>778.095</v>
      </c>
      <c r="AB69" s="13">
        <v>442.582</v>
      </c>
      <c r="AC69" s="13">
        <v>0.03</v>
      </c>
      <c r="AD69" s="13">
        <v>259.028</v>
      </c>
      <c r="AE69" s="13">
        <v>76.455</v>
      </c>
      <c r="AF69" s="49">
        <v>369.707</v>
      </c>
      <c r="AG69" s="49">
        <v>0</v>
      </c>
      <c r="AH69" s="49">
        <v>748.651</v>
      </c>
      <c r="AI69" s="49">
        <v>76.021</v>
      </c>
      <c r="AJ69" s="49">
        <v>601.916</v>
      </c>
      <c r="AK69" s="49">
        <v>507.834</v>
      </c>
      <c r="AL69" s="49">
        <v>50.174</v>
      </c>
      <c r="AM69" s="14">
        <f t="shared" si="5"/>
        <v>8997.206000000002</v>
      </c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8"/>
      <c r="ED69" s="18"/>
      <c r="EE69" s="18"/>
      <c r="EF69" s="18"/>
      <c r="EG69" s="18"/>
      <c r="EH69" s="18"/>
      <c r="EI69" s="18"/>
      <c r="EJ69" s="18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</row>
    <row r="70" spans="1:159" s="19" customFormat="1" ht="15">
      <c r="A70" s="22">
        <v>33269</v>
      </c>
      <c r="B70" s="49">
        <f t="shared" si="0"/>
        <v>900.251</v>
      </c>
      <c r="C70" s="13">
        <f>(103792+68686+81061+119016+146773+48464+196630)/1000</f>
        <v>764.422</v>
      </c>
      <c r="D70" s="13">
        <f>(48783+67796)/1000</f>
        <v>116.579</v>
      </c>
      <c r="E70" s="13">
        <v>19.25</v>
      </c>
      <c r="F70" s="49">
        <v>32.872</v>
      </c>
      <c r="G70" s="49">
        <f t="shared" si="1"/>
        <v>1464.6</v>
      </c>
      <c r="H70" s="13">
        <v>64.717</v>
      </c>
      <c r="I70" s="13">
        <f>(268326+13704)/1000</f>
        <v>282.03</v>
      </c>
      <c r="J70" s="13">
        <v>52.273</v>
      </c>
      <c r="K70" s="13">
        <v>174.083</v>
      </c>
      <c r="L70" s="13">
        <v>106.359</v>
      </c>
      <c r="M70" s="13">
        <v>58.16</v>
      </c>
      <c r="N70" s="13">
        <v>43.508</v>
      </c>
      <c r="O70" s="13">
        <v>91.96</v>
      </c>
      <c r="P70" s="13">
        <v>591.51</v>
      </c>
      <c r="Q70" s="49">
        <f t="shared" si="2"/>
        <v>2106.8740000000003</v>
      </c>
      <c r="R70" s="13">
        <v>1473.443</v>
      </c>
      <c r="S70" s="13">
        <v>386.361</v>
      </c>
      <c r="T70" s="13">
        <v>247.07</v>
      </c>
      <c r="U70" s="49">
        <v>248.358</v>
      </c>
      <c r="V70" s="49">
        <f t="shared" si="3"/>
        <v>1091.28</v>
      </c>
      <c r="W70" s="13">
        <v>978.43</v>
      </c>
      <c r="X70" s="13">
        <v>80.222</v>
      </c>
      <c r="Y70" s="13">
        <v>32.628</v>
      </c>
      <c r="Z70" s="49">
        <v>33.881</v>
      </c>
      <c r="AA70" s="49">
        <f t="shared" si="4"/>
        <v>765.562</v>
      </c>
      <c r="AB70" s="13">
        <v>432.264</v>
      </c>
      <c r="AC70" s="13">
        <v>0</v>
      </c>
      <c r="AD70" s="13">
        <v>256.284</v>
      </c>
      <c r="AE70" s="13">
        <v>77.014</v>
      </c>
      <c r="AF70" s="49">
        <v>403.478</v>
      </c>
      <c r="AG70" s="49">
        <v>0</v>
      </c>
      <c r="AH70" s="49">
        <v>768.693</v>
      </c>
      <c r="AI70" s="49">
        <v>76.424</v>
      </c>
      <c r="AJ70" s="49">
        <v>602.904</v>
      </c>
      <c r="AK70" s="49">
        <v>509.265</v>
      </c>
      <c r="AL70" s="49">
        <v>38.6</v>
      </c>
      <c r="AM70" s="14">
        <f t="shared" si="5"/>
        <v>9043.042</v>
      </c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8"/>
      <c r="ED70" s="18"/>
      <c r="EE70" s="18"/>
      <c r="EF70" s="18"/>
      <c r="EG70" s="18"/>
      <c r="EH70" s="18"/>
      <c r="EI70" s="18"/>
      <c r="EJ70" s="18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</row>
    <row r="71" spans="1:159" s="19" customFormat="1" ht="15">
      <c r="A71" s="22">
        <v>33297</v>
      </c>
      <c r="B71" s="49">
        <f t="shared" si="0"/>
        <v>894.996</v>
      </c>
      <c r="C71" s="13">
        <f>(100782+82750+88303+115188+136609+49982+185273)/1000</f>
        <v>758.887</v>
      </c>
      <c r="D71" s="13">
        <f>(52614+64865)/1000</f>
        <v>117.479</v>
      </c>
      <c r="E71" s="13">
        <v>18.63</v>
      </c>
      <c r="F71" s="49">
        <v>34.334</v>
      </c>
      <c r="G71" s="49">
        <f t="shared" si="1"/>
        <v>1511.613</v>
      </c>
      <c r="H71" s="13">
        <v>82.219</v>
      </c>
      <c r="I71" s="13">
        <f>(268810+14131)/1000</f>
        <v>282.941</v>
      </c>
      <c r="J71" s="13">
        <v>50.596</v>
      </c>
      <c r="K71" s="13">
        <v>169.077</v>
      </c>
      <c r="L71" s="13">
        <v>107.661</v>
      </c>
      <c r="M71" s="13">
        <v>61.269</v>
      </c>
      <c r="N71" s="13">
        <v>42.513</v>
      </c>
      <c r="O71" s="13">
        <v>105.512</v>
      </c>
      <c r="P71" s="13">
        <v>609.825</v>
      </c>
      <c r="Q71" s="49">
        <f t="shared" si="2"/>
        <v>2131.449</v>
      </c>
      <c r="R71" s="13">
        <v>1479.471</v>
      </c>
      <c r="S71" s="13">
        <v>398.084</v>
      </c>
      <c r="T71" s="13">
        <v>253.894</v>
      </c>
      <c r="U71" s="49">
        <v>222.914</v>
      </c>
      <c r="V71" s="49">
        <f t="shared" si="3"/>
        <v>1085.626</v>
      </c>
      <c r="W71" s="13">
        <v>966.689</v>
      </c>
      <c r="X71" s="13">
        <v>81.33</v>
      </c>
      <c r="Y71" s="13">
        <v>37.607</v>
      </c>
      <c r="Z71" s="49">
        <v>32.551</v>
      </c>
      <c r="AA71" s="49">
        <f t="shared" si="4"/>
        <v>816.067</v>
      </c>
      <c r="AB71" s="13">
        <v>432.003</v>
      </c>
      <c r="AC71" s="13">
        <v>0</v>
      </c>
      <c r="AD71" s="13">
        <v>284.954</v>
      </c>
      <c r="AE71" s="13">
        <v>99.11</v>
      </c>
      <c r="AF71" s="49">
        <v>411.869</v>
      </c>
      <c r="AG71" s="49">
        <v>0</v>
      </c>
      <c r="AH71" s="49">
        <v>756.538</v>
      </c>
      <c r="AI71" s="49">
        <v>75.653</v>
      </c>
      <c r="AJ71" s="49">
        <v>621.692</v>
      </c>
      <c r="AK71" s="49">
        <v>532.133</v>
      </c>
      <c r="AL71" s="49">
        <v>37.055</v>
      </c>
      <c r="AM71" s="14">
        <f t="shared" si="5"/>
        <v>9164.49</v>
      </c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8"/>
      <c r="ED71" s="18"/>
      <c r="EE71" s="18"/>
      <c r="EF71" s="18"/>
      <c r="EG71" s="18"/>
      <c r="EH71" s="18"/>
      <c r="EI71" s="18"/>
      <c r="EJ71" s="18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</row>
    <row r="72" spans="1:159" s="19" customFormat="1" ht="15">
      <c r="A72" s="22">
        <v>33328</v>
      </c>
      <c r="B72" s="49">
        <f t="shared" si="0"/>
        <v>856.783</v>
      </c>
      <c r="C72" s="13">
        <f>(80530+76971+80407+115599+132632+52080+196476)/1000</f>
        <v>734.695</v>
      </c>
      <c r="D72" s="13">
        <f>(50499+53959)/1000</f>
        <v>104.458</v>
      </c>
      <c r="E72" s="13">
        <v>17.63</v>
      </c>
      <c r="F72" s="49">
        <v>33.254</v>
      </c>
      <c r="G72" s="49">
        <f t="shared" si="1"/>
        <v>1570.063</v>
      </c>
      <c r="H72" s="13">
        <v>95.264</v>
      </c>
      <c r="I72" s="13">
        <f>(300411+14612)/1000</f>
        <v>315.023</v>
      </c>
      <c r="J72" s="13">
        <v>52</v>
      </c>
      <c r="K72" s="13">
        <v>174.603</v>
      </c>
      <c r="L72" s="13">
        <v>101.928</v>
      </c>
      <c r="M72" s="13">
        <v>64.205</v>
      </c>
      <c r="N72" s="13">
        <v>50.016</v>
      </c>
      <c r="O72" s="13">
        <v>98.452</v>
      </c>
      <c r="P72" s="13">
        <v>618.572</v>
      </c>
      <c r="Q72" s="49">
        <f t="shared" si="2"/>
        <v>2103.816</v>
      </c>
      <c r="R72" s="13">
        <v>1525.638</v>
      </c>
      <c r="S72" s="13">
        <v>339.505</v>
      </c>
      <c r="T72" s="13">
        <v>238.673</v>
      </c>
      <c r="U72" s="49">
        <v>264.8</v>
      </c>
      <c r="V72" s="49">
        <f t="shared" si="3"/>
        <v>1163.834</v>
      </c>
      <c r="W72" s="13">
        <v>1042.326</v>
      </c>
      <c r="X72" s="13">
        <v>83.185</v>
      </c>
      <c r="Y72" s="13">
        <v>38.323</v>
      </c>
      <c r="Z72" s="49">
        <v>30.759</v>
      </c>
      <c r="AA72" s="49">
        <f t="shared" si="4"/>
        <v>826.8489999999999</v>
      </c>
      <c r="AB72" s="13">
        <v>432.443</v>
      </c>
      <c r="AC72" s="13">
        <v>0</v>
      </c>
      <c r="AD72" s="13">
        <v>301.02</v>
      </c>
      <c r="AE72" s="13">
        <v>93.386</v>
      </c>
      <c r="AF72" s="49">
        <v>426.107</v>
      </c>
      <c r="AG72" s="49">
        <v>0</v>
      </c>
      <c r="AH72" s="49">
        <v>713.965</v>
      </c>
      <c r="AI72" s="49">
        <v>80.101</v>
      </c>
      <c r="AJ72" s="49">
        <v>672.22</v>
      </c>
      <c r="AK72" s="49">
        <v>634.046</v>
      </c>
      <c r="AL72" s="49">
        <v>36.675</v>
      </c>
      <c r="AM72" s="14">
        <f t="shared" si="5"/>
        <v>9413.271999999999</v>
      </c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8"/>
      <c r="ED72" s="18"/>
      <c r="EE72" s="18"/>
      <c r="EF72" s="18"/>
      <c r="EG72" s="18"/>
      <c r="EH72" s="18"/>
      <c r="EI72" s="18"/>
      <c r="EJ72" s="18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</row>
    <row r="73" spans="1:159" s="19" customFormat="1" ht="15">
      <c r="A73" s="22">
        <v>33358</v>
      </c>
      <c r="B73" s="49">
        <f t="shared" si="0"/>
        <v>866.994</v>
      </c>
      <c r="C73" s="13">
        <f>(86774+79331+80533+109287+138710+76865+172465)/1000</f>
        <v>743.965</v>
      </c>
      <c r="D73" s="13">
        <f>(66520+47245)/1000</f>
        <v>113.765</v>
      </c>
      <c r="E73" s="13">
        <v>9.264</v>
      </c>
      <c r="F73" s="49">
        <v>40.734</v>
      </c>
      <c r="G73" s="49">
        <f t="shared" si="1"/>
        <v>1459.621</v>
      </c>
      <c r="H73" s="13">
        <v>65.715</v>
      </c>
      <c r="I73" s="13">
        <f>(293857+16258)/1000</f>
        <v>310.115</v>
      </c>
      <c r="J73" s="13">
        <v>53.218</v>
      </c>
      <c r="K73" s="13">
        <v>180.433</v>
      </c>
      <c r="L73" s="13">
        <v>104.962</v>
      </c>
      <c r="M73" s="13">
        <v>64.189</v>
      </c>
      <c r="N73" s="13">
        <v>43.7</v>
      </c>
      <c r="O73" s="13">
        <v>97.187</v>
      </c>
      <c r="P73" s="13">
        <v>540.102</v>
      </c>
      <c r="Q73" s="49">
        <f t="shared" si="2"/>
        <v>2127.049</v>
      </c>
      <c r="R73" s="13">
        <v>1562.241</v>
      </c>
      <c r="S73" s="13">
        <v>344.401</v>
      </c>
      <c r="T73" s="13">
        <v>220.407</v>
      </c>
      <c r="U73" s="49">
        <v>254.909</v>
      </c>
      <c r="V73" s="49">
        <f t="shared" si="3"/>
        <v>1158.906</v>
      </c>
      <c r="W73" s="13">
        <v>1087.427</v>
      </c>
      <c r="X73" s="13">
        <v>29.097</v>
      </c>
      <c r="Y73" s="13">
        <v>42.382</v>
      </c>
      <c r="Z73" s="49">
        <v>20.638</v>
      </c>
      <c r="AA73" s="49">
        <f t="shared" si="4"/>
        <v>820.968</v>
      </c>
      <c r="AB73" s="13">
        <v>485.799</v>
      </c>
      <c r="AC73" s="13">
        <v>0</v>
      </c>
      <c r="AD73" s="13">
        <v>223.968</v>
      </c>
      <c r="AE73" s="13">
        <v>111.201</v>
      </c>
      <c r="AF73" s="49">
        <v>430.72</v>
      </c>
      <c r="AG73" s="49">
        <v>0</v>
      </c>
      <c r="AH73" s="49">
        <v>730.508</v>
      </c>
      <c r="AI73" s="49">
        <v>79.769</v>
      </c>
      <c r="AJ73" s="49">
        <v>610.277</v>
      </c>
      <c r="AK73" s="49">
        <v>699.158</v>
      </c>
      <c r="AL73" s="49">
        <v>36.471</v>
      </c>
      <c r="AM73" s="14">
        <f t="shared" si="5"/>
        <v>9336.722</v>
      </c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8"/>
      <c r="ED73" s="18"/>
      <c r="EE73" s="18"/>
      <c r="EF73" s="18"/>
      <c r="EG73" s="18"/>
      <c r="EH73" s="18"/>
      <c r="EI73" s="18"/>
      <c r="EJ73" s="18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</row>
    <row r="74" spans="1:159" s="19" customFormat="1" ht="15">
      <c r="A74" s="22">
        <v>33389</v>
      </c>
      <c r="B74" s="49">
        <f t="shared" si="0"/>
        <v>874.96</v>
      </c>
      <c r="C74" s="13">
        <f>(85059+85729+79442+112891+141176+47892+197194)/1000</f>
        <v>749.383</v>
      </c>
      <c r="D74" s="13">
        <f>(65476+50909)/1000</f>
        <v>116.385</v>
      </c>
      <c r="E74" s="13">
        <v>9.192</v>
      </c>
      <c r="F74" s="49">
        <v>43.181</v>
      </c>
      <c r="G74" s="49">
        <f t="shared" si="1"/>
        <v>1505.906</v>
      </c>
      <c r="H74" s="13">
        <v>47.669</v>
      </c>
      <c r="I74" s="13">
        <f>(309436+15305)/1000</f>
        <v>324.741</v>
      </c>
      <c r="J74" s="13">
        <v>51.066</v>
      </c>
      <c r="K74" s="13">
        <v>185.681</v>
      </c>
      <c r="L74" s="13">
        <v>106.109</v>
      </c>
      <c r="M74" s="13">
        <v>66.545</v>
      </c>
      <c r="N74" s="13">
        <v>49.292</v>
      </c>
      <c r="O74" s="13">
        <v>116.657</v>
      </c>
      <c r="P74" s="13">
        <v>558.146</v>
      </c>
      <c r="Q74" s="49">
        <f t="shared" si="2"/>
        <v>2108.962</v>
      </c>
      <c r="R74" s="13">
        <v>1524.32</v>
      </c>
      <c r="S74" s="13">
        <v>336.875</v>
      </c>
      <c r="T74" s="13">
        <v>247.767</v>
      </c>
      <c r="U74" s="49">
        <v>226.017</v>
      </c>
      <c r="V74" s="49">
        <f t="shared" si="3"/>
        <v>1156.9279999999999</v>
      </c>
      <c r="W74" s="13">
        <v>1087.615</v>
      </c>
      <c r="X74" s="13">
        <v>28.386</v>
      </c>
      <c r="Y74" s="13">
        <v>40.927</v>
      </c>
      <c r="Z74" s="49">
        <v>20.261</v>
      </c>
      <c r="AA74" s="49">
        <f t="shared" si="4"/>
        <v>807.2710000000001</v>
      </c>
      <c r="AB74" s="13">
        <v>519.97</v>
      </c>
      <c r="AC74" s="13">
        <v>0</v>
      </c>
      <c r="AD74" s="13">
        <v>217.321</v>
      </c>
      <c r="AE74" s="13">
        <v>69.98</v>
      </c>
      <c r="AF74" s="49">
        <v>461.708</v>
      </c>
      <c r="AG74" s="49">
        <v>0</v>
      </c>
      <c r="AH74" s="49">
        <v>752.126</v>
      </c>
      <c r="AI74" s="49">
        <v>81.902</v>
      </c>
      <c r="AJ74" s="49">
        <v>667.936</v>
      </c>
      <c r="AK74" s="49">
        <v>733.766</v>
      </c>
      <c r="AL74" s="49">
        <v>36.069</v>
      </c>
      <c r="AM74" s="14">
        <f t="shared" si="5"/>
        <v>9476.992999999999</v>
      </c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8"/>
      <c r="ED74" s="18"/>
      <c r="EE74" s="18"/>
      <c r="EF74" s="18"/>
      <c r="EG74" s="18"/>
      <c r="EH74" s="18"/>
      <c r="EI74" s="18"/>
      <c r="EJ74" s="18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</row>
    <row r="75" spans="1:159" s="19" customFormat="1" ht="15">
      <c r="A75" s="22">
        <v>33419</v>
      </c>
      <c r="B75" s="49">
        <f t="shared" si="0"/>
        <v>890.77</v>
      </c>
      <c r="C75" s="13">
        <f>(85464+67697+76699+119539+174082+51459+202336)/1000</f>
        <v>777.276</v>
      </c>
      <c r="D75" s="13">
        <f>(58879+44956)/1000</f>
        <v>103.835</v>
      </c>
      <c r="E75" s="13">
        <v>9.659</v>
      </c>
      <c r="F75" s="49">
        <v>39.128</v>
      </c>
      <c r="G75" s="49">
        <f t="shared" si="1"/>
        <v>1543.296</v>
      </c>
      <c r="H75" s="13">
        <v>49.563</v>
      </c>
      <c r="I75" s="13">
        <f>(301278+14341)/1000</f>
        <v>315.619</v>
      </c>
      <c r="J75" s="13">
        <v>51.798</v>
      </c>
      <c r="K75" s="13">
        <v>185.979</v>
      </c>
      <c r="L75" s="13">
        <v>105.765</v>
      </c>
      <c r="M75" s="13">
        <v>63.188</v>
      </c>
      <c r="N75" s="13">
        <v>39.984</v>
      </c>
      <c r="O75" s="13">
        <v>102.327</v>
      </c>
      <c r="P75" s="13">
        <v>629.073</v>
      </c>
      <c r="Q75" s="49">
        <f t="shared" si="2"/>
        <v>2153.098</v>
      </c>
      <c r="R75" s="13">
        <v>1508.568</v>
      </c>
      <c r="S75" s="13">
        <v>385.243</v>
      </c>
      <c r="T75" s="13">
        <v>259.287</v>
      </c>
      <c r="U75" s="49">
        <v>209.278</v>
      </c>
      <c r="V75" s="49">
        <f t="shared" si="3"/>
        <v>1148.5710000000001</v>
      </c>
      <c r="W75" s="13">
        <v>1074.727</v>
      </c>
      <c r="X75" s="13">
        <v>31.425</v>
      </c>
      <c r="Y75" s="13">
        <v>42.419</v>
      </c>
      <c r="Z75" s="49">
        <v>32.372</v>
      </c>
      <c r="AA75" s="49">
        <f t="shared" si="4"/>
        <v>767.855</v>
      </c>
      <c r="AB75" s="13">
        <v>506.747</v>
      </c>
      <c r="AC75" s="13">
        <v>0</v>
      </c>
      <c r="AD75" s="13">
        <v>193.519</v>
      </c>
      <c r="AE75" s="13">
        <v>67.589</v>
      </c>
      <c r="AF75" s="49">
        <v>480.915</v>
      </c>
      <c r="AG75" s="49">
        <v>0</v>
      </c>
      <c r="AH75" s="49">
        <v>754.263</v>
      </c>
      <c r="AI75" s="49">
        <v>83.114</v>
      </c>
      <c r="AJ75" s="49">
        <v>772.727</v>
      </c>
      <c r="AK75" s="49">
        <v>747.963</v>
      </c>
      <c r="AL75" s="49">
        <v>36.235</v>
      </c>
      <c r="AM75" s="14">
        <f t="shared" si="5"/>
        <v>9659.585000000001</v>
      </c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8"/>
      <c r="ED75" s="18"/>
      <c r="EE75" s="18"/>
      <c r="EF75" s="18"/>
      <c r="EG75" s="18"/>
      <c r="EH75" s="18"/>
      <c r="EI75" s="18"/>
      <c r="EJ75" s="18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</row>
    <row r="76" spans="1:159" s="19" customFormat="1" ht="15">
      <c r="A76" s="22">
        <v>33450</v>
      </c>
      <c r="B76" s="49">
        <f t="shared" si="0"/>
        <v>897.939</v>
      </c>
      <c r="C76" s="13">
        <f>(85871+68180+84444+113683+173803+52074+205301)/1000</f>
        <v>783.356</v>
      </c>
      <c r="D76" s="13">
        <f>(56135+49702)/1000</f>
        <v>105.837</v>
      </c>
      <c r="E76" s="13">
        <v>8.746</v>
      </c>
      <c r="F76" s="49">
        <v>41.475</v>
      </c>
      <c r="G76" s="49">
        <f t="shared" si="1"/>
        <v>1553.98</v>
      </c>
      <c r="H76" s="13">
        <v>58.168</v>
      </c>
      <c r="I76" s="13">
        <f>(315615+19441)/1000</f>
        <v>335.056</v>
      </c>
      <c r="J76" s="13">
        <v>64.118</v>
      </c>
      <c r="K76" s="13">
        <v>174.822</v>
      </c>
      <c r="L76" s="13">
        <v>108.741</v>
      </c>
      <c r="M76" s="13">
        <v>64.659</v>
      </c>
      <c r="N76" s="13">
        <v>48.866</v>
      </c>
      <c r="O76" s="13">
        <v>125.803</v>
      </c>
      <c r="P76" s="13">
        <v>573.747</v>
      </c>
      <c r="Q76" s="49">
        <f t="shared" si="2"/>
        <v>2175.956</v>
      </c>
      <c r="R76" s="13">
        <v>1627.76</v>
      </c>
      <c r="S76" s="13">
        <v>308.547</v>
      </c>
      <c r="T76" s="13">
        <v>239.649</v>
      </c>
      <c r="U76" s="49">
        <v>198.664</v>
      </c>
      <c r="V76" s="49">
        <f t="shared" si="3"/>
        <v>1151.3880000000001</v>
      </c>
      <c r="W76" s="13">
        <v>1071.868</v>
      </c>
      <c r="X76" s="13">
        <v>33.572</v>
      </c>
      <c r="Y76" s="13">
        <v>45.948</v>
      </c>
      <c r="Z76" s="49">
        <v>45.178</v>
      </c>
      <c r="AA76" s="49">
        <f t="shared" si="4"/>
        <v>750.9929999999999</v>
      </c>
      <c r="AB76" s="13">
        <v>502.51</v>
      </c>
      <c r="AC76" s="13">
        <v>0</v>
      </c>
      <c r="AD76" s="13">
        <v>191.761</v>
      </c>
      <c r="AE76" s="13">
        <v>56.722</v>
      </c>
      <c r="AF76" s="49">
        <v>479.044</v>
      </c>
      <c r="AG76" s="49">
        <v>0</v>
      </c>
      <c r="AH76" s="49">
        <v>776.081</v>
      </c>
      <c r="AI76" s="49">
        <v>90.293</v>
      </c>
      <c r="AJ76" s="49">
        <v>757.067</v>
      </c>
      <c r="AK76" s="49">
        <v>867.875</v>
      </c>
      <c r="AL76" s="49">
        <v>36.49</v>
      </c>
      <c r="AM76" s="14">
        <f t="shared" si="5"/>
        <v>9822.423</v>
      </c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8"/>
      <c r="ED76" s="18"/>
      <c r="EE76" s="18"/>
      <c r="EF76" s="18"/>
      <c r="EG76" s="18"/>
      <c r="EH76" s="18"/>
      <c r="EI76" s="18"/>
      <c r="EJ76" s="18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</row>
    <row r="77" spans="1:159" s="19" customFormat="1" ht="15">
      <c r="A77" s="22">
        <v>33481</v>
      </c>
      <c r="B77" s="49">
        <f aca="true" t="shared" si="6" ref="B77:B140">SUM(C77:E77)</f>
        <v>928.467</v>
      </c>
      <c r="C77" s="13">
        <f>(85602+74716+94840+113127+173566+54513+201167)/1000</f>
        <v>797.531</v>
      </c>
      <c r="D77" s="13">
        <f>(67786+54151)/1000</f>
        <v>121.937</v>
      </c>
      <c r="E77" s="13">
        <v>8.999</v>
      </c>
      <c r="F77" s="49">
        <v>39.136</v>
      </c>
      <c r="G77" s="49">
        <f aca="true" t="shared" si="7" ref="G77:G140">SUM(H77:P77)</f>
        <v>1518.5169999999998</v>
      </c>
      <c r="H77" s="13">
        <v>55.438</v>
      </c>
      <c r="I77" s="13">
        <f>(260110+14184)/1000</f>
        <v>274.294</v>
      </c>
      <c r="J77" s="13">
        <v>67.026</v>
      </c>
      <c r="K77" s="13">
        <v>180.172</v>
      </c>
      <c r="L77" s="13">
        <v>113.199</v>
      </c>
      <c r="M77" s="13">
        <v>70.791</v>
      </c>
      <c r="N77" s="13">
        <v>64.476</v>
      </c>
      <c r="O77" s="13">
        <v>120.336</v>
      </c>
      <c r="P77" s="13">
        <v>572.785</v>
      </c>
      <c r="Q77" s="49">
        <f aca="true" t="shared" si="8" ref="Q77:Q140">SUM(R77:T77)</f>
        <v>2188.706</v>
      </c>
      <c r="R77" s="13">
        <v>1626.103</v>
      </c>
      <c r="S77" s="13">
        <v>325.503</v>
      </c>
      <c r="T77" s="13">
        <v>237.1</v>
      </c>
      <c r="U77" s="49">
        <v>207.915</v>
      </c>
      <c r="V77" s="49">
        <f aca="true" t="shared" si="9" ref="V77:V140">SUM(W77:Y77)</f>
        <v>1165.206</v>
      </c>
      <c r="W77" s="13">
        <v>1090.399</v>
      </c>
      <c r="X77" s="13">
        <v>30.647</v>
      </c>
      <c r="Y77" s="13">
        <v>44.16</v>
      </c>
      <c r="Z77" s="49">
        <v>26.443</v>
      </c>
      <c r="AA77" s="49">
        <f aca="true" t="shared" si="10" ref="AA77:AA140">SUM(AB77:AE77)</f>
        <v>736.514</v>
      </c>
      <c r="AB77" s="13">
        <v>497.394</v>
      </c>
      <c r="AC77" s="13">
        <v>0</v>
      </c>
      <c r="AD77" s="13">
        <v>191.678</v>
      </c>
      <c r="AE77" s="13">
        <v>47.442</v>
      </c>
      <c r="AF77" s="49">
        <v>495.607</v>
      </c>
      <c r="AG77" s="49">
        <v>0</v>
      </c>
      <c r="AH77" s="49">
        <v>767.16</v>
      </c>
      <c r="AI77" s="49">
        <v>93.535</v>
      </c>
      <c r="AJ77" s="49">
        <v>824.096</v>
      </c>
      <c r="AK77" s="49">
        <v>926.561</v>
      </c>
      <c r="AL77" s="49">
        <v>38.853</v>
      </c>
      <c r="AM77" s="14">
        <f aca="true" t="shared" si="11" ref="AM77:AM140">+B77+F77+G77+Q77+U77+V77+Z77+AA77+AF77+AH77+AI77+AJ77+AK77+AL77+AG77</f>
        <v>9956.715999999999</v>
      </c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8"/>
      <c r="ED77" s="18"/>
      <c r="EE77" s="18"/>
      <c r="EF77" s="18"/>
      <c r="EG77" s="18"/>
      <c r="EH77" s="18"/>
      <c r="EI77" s="18"/>
      <c r="EJ77" s="18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</row>
    <row r="78" spans="1:159" s="19" customFormat="1" ht="15">
      <c r="A78" s="22">
        <v>33511</v>
      </c>
      <c r="B78" s="49">
        <f t="shared" si="6"/>
        <v>951.8629999999999</v>
      </c>
      <c r="C78" s="13">
        <f>(89130+80897+82996+120115+175870+53741+210008)/1000</f>
        <v>812.757</v>
      </c>
      <c r="D78" s="13">
        <f>(75941+54227)/1000</f>
        <v>130.168</v>
      </c>
      <c r="E78" s="13">
        <v>8.938</v>
      </c>
      <c r="F78" s="49">
        <v>48.727</v>
      </c>
      <c r="G78" s="49">
        <f t="shared" si="7"/>
        <v>1594.336</v>
      </c>
      <c r="H78" s="13">
        <v>49.043</v>
      </c>
      <c r="I78" s="13">
        <f>(265905+12484)/1000</f>
        <v>278.389</v>
      </c>
      <c r="J78" s="13">
        <v>69.162</v>
      </c>
      <c r="K78" s="13">
        <v>175.656</v>
      </c>
      <c r="L78" s="13">
        <v>115.207</v>
      </c>
      <c r="M78" s="13">
        <v>75.976</v>
      </c>
      <c r="N78" s="13">
        <v>65.6</v>
      </c>
      <c r="O78" s="13">
        <v>115.291</v>
      </c>
      <c r="P78" s="13">
        <v>650.012</v>
      </c>
      <c r="Q78" s="49">
        <f t="shared" si="8"/>
        <v>2185.3469999999998</v>
      </c>
      <c r="R78" s="13">
        <v>1577.357</v>
      </c>
      <c r="S78" s="13">
        <v>363.071</v>
      </c>
      <c r="T78" s="13">
        <v>244.919</v>
      </c>
      <c r="U78" s="49">
        <v>242.411</v>
      </c>
      <c r="V78" s="49">
        <f t="shared" si="9"/>
        <v>1186.503</v>
      </c>
      <c r="W78" s="13">
        <v>1111.366</v>
      </c>
      <c r="X78" s="13">
        <v>33.508</v>
      </c>
      <c r="Y78" s="13">
        <v>41.629</v>
      </c>
      <c r="Z78" s="49">
        <v>27.322</v>
      </c>
      <c r="AA78" s="49">
        <f t="shared" si="10"/>
        <v>707.7579999999999</v>
      </c>
      <c r="AB78" s="13">
        <v>502.304</v>
      </c>
      <c r="AC78" s="13">
        <v>0</v>
      </c>
      <c r="AD78" s="13">
        <v>176.972</v>
      </c>
      <c r="AE78" s="13">
        <v>28.482</v>
      </c>
      <c r="AF78" s="49">
        <v>533.901</v>
      </c>
      <c r="AG78" s="49">
        <v>0</v>
      </c>
      <c r="AH78" s="49">
        <v>790.92</v>
      </c>
      <c r="AI78" s="49">
        <v>95.037</v>
      </c>
      <c r="AJ78" s="49">
        <v>993.619</v>
      </c>
      <c r="AK78" s="49">
        <v>915.102</v>
      </c>
      <c r="AL78" s="49">
        <v>42.815</v>
      </c>
      <c r="AM78" s="14">
        <f t="shared" si="11"/>
        <v>10315.661</v>
      </c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8"/>
      <c r="ED78" s="18"/>
      <c r="EE78" s="18"/>
      <c r="EF78" s="18"/>
      <c r="EG78" s="18"/>
      <c r="EH78" s="18"/>
      <c r="EI78" s="18"/>
      <c r="EJ78" s="18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</row>
    <row r="79" spans="1:159" s="19" customFormat="1" ht="15">
      <c r="A79" s="22">
        <v>33542</v>
      </c>
      <c r="B79" s="49">
        <f t="shared" si="6"/>
        <v>959.27</v>
      </c>
      <c r="C79" s="13">
        <f>(89901+70050+87034+128131+190887+51426+210635)/1000</f>
        <v>828.064</v>
      </c>
      <c r="D79" s="13">
        <f>(73629+47819)/1000</f>
        <v>121.448</v>
      </c>
      <c r="E79" s="13">
        <v>9.758</v>
      </c>
      <c r="F79" s="49">
        <v>51.657</v>
      </c>
      <c r="G79" s="49">
        <f t="shared" si="7"/>
        <v>1616.028</v>
      </c>
      <c r="H79" s="13">
        <v>62.098</v>
      </c>
      <c r="I79" s="13">
        <f>(230127+12744)/1000</f>
        <v>242.871</v>
      </c>
      <c r="J79" s="13">
        <v>91.507</v>
      </c>
      <c r="K79" s="13">
        <v>177.177</v>
      </c>
      <c r="L79" s="13">
        <v>108.098</v>
      </c>
      <c r="M79" s="13">
        <v>74.254</v>
      </c>
      <c r="N79" s="13">
        <v>60.128</v>
      </c>
      <c r="O79" s="13">
        <v>142.362</v>
      </c>
      <c r="P79" s="13">
        <v>657.533</v>
      </c>
      <c r="Q79" s="49">
        <f t="shared" si="8"/>
        <v>2306.862</v>
      </c>
      <c r="R79" s="13">
        <v>1662.105</v>
      </c>
      <c r="S79" s="13">
        <v>384.93</v>
      </c>
      <c r="T79" s="13">
        <v>259.827</v>
      </c>
      <c r="U79" s="49">
        <v>327.411</v>
      </c>
      <c r="V79" s="49">
        <f t="shared" si="9"/>
        <v>1228.433</v>
      </c>
      <c r="W79" s="13">
        <v>1153.76</v>
      </c>
      <c r="X79" s="13">
        <v>35.308</v>
      </c>
      <c r="Y79" s="13">
        <v>39.365</v>
      </c>
      <c r="Z79" s="49">
        <v>25.136</v>
      </c>
      <c r="AA79" s="49">
        <f t="shared" si="10"/>
        <v>624.239</v>
      </c>
      <c r="AB79" s="13">
        <v>415.032</v>
      </c>
      <c r="AC79" s="13">
        <v>0</v>
      </c>
      <c r="AD79" s="13">
        <v>171.977</v>
      </c>
      <c r="AE79" s="13">
        <v>37.23</v>
      </c>
      <c r="AF79" s="49">
        <v>594.709</v>
      </c>
      <c r="AG79" s="49">
        <v>0</v>
      </c>
      <c r="AH79" s="49">
        <v>825.449</v>
      </c>
      <c r="AI79" s="49">
        <v>100.686</v>
      </c>
      <c r="AJ79" s="49">
        <v>985.821</v>
      </c>
      <c r="AK79" s="49">
        <v>1082.391</v>
      </c>
      <c r="AL79" s="49">
        <v>56.419</v>
      </c>
      <c r="AM79" s="14">
        <f t="shared" si="11"/>
        <v>10784.510999999999</v>
      </c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8"/>
      <c r="ED79" s="18"/>
      <c r="EE79" s="18"/>
      <c r="EF79" s="18"/>
      <c r="EG79" s="18"/>
      <c r="EH79" s="18"/>
      <c r="EI79" s="18"/>
      <c r="EJ79" s="18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</row>
    <row r="80" spans="1:159" s="19" customFormat="1" ht="15">
      <c r="A80" s="22">
        <v>33572</v>
      </c>
      <c r="B80" s="49">
        <f t="shared" si="6"/>
        <v>951.0369999999999</v>
      </c>
      <c r="C80" s="13">
        <f>(87529+69350+85520+134436+183038+48044+216737)/1000</f>
        <v>824.654</v>
      </c>
      <c r="D80" s="13">
        <f>(71399+45146)/1000</f>
        <v>116.545</v>
      </c>
      <c r="E80" s="13">
        <v>9.838</v>
      </c>
      <c r="F80" s="49">
        <v>39.573</v>
      </c>
      <c r="G80" s="49">
        <f t="shared" si="7"/>
        <v>1780.5259999999998</v>
      </c>
      <c r="H80" s="13">
        <v>65.68</v>
      </c>
      <c r="I80" s="13">
        <f>(293193+10284)/1000</f>
        <v>303.477</v>
      </c>
      <c r="J80" s="13">
        <v>88.248</v>
      </c>
      <c r="K80" s="13">
        <v>188.303</v>
      </c>
      <c r="L80" s="13">
        <v>115.476</v>
      </c>
      <c r="M80" s="13">
        <v>82.557</v>
      </c>
      <c r="N80" s="13">
        <v>70.484</v>
      </c>
      <c r="O80" s="13">
        <v>136.988</v>
      </c>
      <c r="P80" s="13">
        <v>729.313</v>
      </c>
      <c r="Q80" s="49">
        <f t="shared" si="8"/>
        <v>2458.89</v>
      </c>
      <c r="R80" s="13">
        <v>1791.841</v>
      </c>
      <c r="S80" s="13">
        <v>408.58</v>
      </c>
      <c r="T80" s="13">
        <v>258.469</v>
      </c>
      <c r="U80" s="49">
        <v>255.462</v>
      </c>
      <c r="V80" s="49">
        <f t="shared" si="9"/>
        <v>1135.549</v>
      </c>
      <c r="W80" s="13">
        <v>1071.917</v>
      </c>
      <c r="X80" s="13">
        <v>35.815</v>
      </c>
      <c r="Y80" s="13">
        <v>27.817</v>
      </c>
      <c r="Z80" s="49">
        <v>31.846</v>
      </c>
      <c r="AA80" s="49">
        <f t="shared" si="10"/>
        <v>654.213</v>
      </c>
      <c r="AB80" s="13">
        <v>425.025</v>
      </c>
      <c r="AC80" s="13">
        <v>0</v>
      </c>
      <c r="AD80" s="13">
        <v>190.167</v>
      </c>
      <c r="AE80" s="13">
        <v>39.021</v>
      </c>
      <c r="AF80" s="49">
        <v>667.56</v>
      </c>
      <c r="AG80" s="49">
        <v>0</v>
      </c>
      <c r="AH80" s="49">
        <v>745.897</v>
      </c>
      <c r="AI80" s="49">
        <v>93.43</v>
      </c>
      <c r="AJ80" s="49">
        <v>1273.798</v>
      </c>
      <c r="AK80" s="49">
        <v>1155.04</v>
      </c>
      <c r="AL80" s="49">
        <v>74.219</v>
      </c>
      <c r="AM80" s="14">
        <f t="shared" si="11"/>
        <v>11317.039999999999</v>
      </c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8"/>
      <c r="ED80" s="18"/>
      <c r="EE80" s="18"/>
      <c r="EF80" s="18"/>
      <c r="EG80" s="18"/>
      <c r="EH80" s="18"/>
      <c r="EI80" s="18"/>
      <c r="EJ80" s="18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</row>
    <row r="81" spans="1:159" s="19" customFormat="1" ht="15">
      <c r="A81" s="22">
        <v>33603</v>
      </c>
      <c r="B81" s="49">
        <f t="shared" si="6"/>
        <v>940.226</v>
      </c>
      <c r="C81" s="13">
        <f>(90244+56593+88381+123344+183597+47987+225925)/1000</f>
        <v>816.071</v>
      </c>
      <c r="D81" s="13">
        <f>(67400+47533)/1000</f>
        <v>114.933</v>
      </c>
      <c r="E81" s="13">
        <v>9.222</v>
      </c>
      <c r="F81" s="49">
        <v>47.371</v>
      </c>
      <c r="G81" s="49">
        <f t="shared" si="7"/>
        <v>1897.112</v>
      </c>
      <c r="H81" s="13">
        <v>73.83</v>
      </c>
      <c r="I81" s="13">
        <f>(7854+328081)/1000</f>
        <v>335.935</v>
      </c>
      <c r="J81" s="13">
        <v>100.011</v>
      </c>
      <c r="K81" s="13">
        <v>182.298</v>
      </c>
      <c r="L81" s="13">
        <v>108.36</v>
      </c>
      <c r="M81" s="13">
        <v>90.631</v>
      </c>
      <c r="N81" s="13">
        <v>72.698</v>
      </c>
      <c r="O81" s="13">
        <v>147.808</v>
      </c>
      <c r="P81" s="13">
        <v>785.541</v>
      </c>
      <c r="Q81" s="49">
        <f t="shared" si="8"/>
        <v>2361.706</v>
      </c>
      <c r="R81" s="13">
        <v>1781.746</v>
      </c>
      <c r="S81" s="13">
        <v>323.042</v>
      </c>
      <c r="T81" s="13">
        <v>256.918</v>
      </c>
      <c r="U81" s="49">
        <v>369.182</v>
      </c>
      <c r="V81" s="49">
        <f t="shared" si="9"/>
        <v>1175.935</v>
      </c>
      <c r="W81" s="13">
        <v>1109.954</v>
      </c>
      <c r="X81" s="13">
        <v>34.21</v>
      </c>
      <c r="Y81" s="13">
        <v>31.771</v>
      </c>
      <c r="Z81" s="49">
        <v>12.657</v>
      </c>
      <c r="AA81" s="49">
        <f t="shared" si="10"/>
        <v>705.365</v>
      </c>
      <c r="AB81" s="13">
        <v>483.736</v>
      </c>
      <c r="AC81" s="13">
        <v>0.004</v>
      </c>
      <c r="AD81" s="13">
        <v>174.812</v>
      </c>
      <c r="AE81" s="13">
        <v>46.813</v>
      </c>
      <c r="AF81" s="49">
        <v>639.461</v>
      </c>
      <c r="AG81" s="49">
        <v>0</v>
      </c>
      <c r="AH81" s="49">
        <v>743.826</v>
      </c>
      <c r="AI81" s="49">
        <v>91.428</v>
      </c>
      <c r="AJ81" s="49">
        <v>1554.168</v>
      </c>
      <c r="AK81" s="49">
        <v>1264.711</v>
      </c>
      <c r="AL81" s="49">
        <v>75.918</v>
      </c>
      <c r="AM81" s="14">
        <f t="shared" si="11"/>
        <v>11879.065999999999</v>
      </c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8"/>
      <c r="ED81" s="18"/>
      <c r="EE81" s="18"/>
      <c r="EF81" s="18"/>
      <c r="EG81" s="18"/>
      <c r="EH81" s="18"/>
      <c r="EI81" s="18"/>
      <c r="EJ81" s="18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</row>
    <row r="82" spans="1:159" s="19" customFormat="1" ht="15">
      <c r="A82" s="22">
        <v>33634</v>
      </c>
      <c r="B82" s="49">
        <f t="shared" si="6"/>
        <v>962.2700000000001</v>
      </c>
      <c r="C82" s="13">
        <f>(84511+67087+90976+145231+178422+51059+211996)/1000</f>
        <v>829.282</v>
      </c>
      <c r="D82" s="13">
        <f>(76644+47883)/1000</f>
        <v>124.527</v>
      </c>
      <c r="E82" s="13">
        <v>8.461</v>
      </c>
      <c r="F82" s="49">
        <v>42.453</v>
      </c>
      <c r="G82" s="49">
        <f t="shared" si="7"/>
        <v>1837.4759999999999</v>
      </c>
      <c r="H82" s="13">
        <v>77.231</v>
      </c>
      <c r="I82" s="13">
        <f>(324664+18257)/1000</f>
        <v>342.921</v>
      </c>
      <c r="J82" s="13">
        <v>93.958</v>
      </c>
      <c r="K82" s="13">
        <v>204.823</v>
      </c>
      <c r="L82" s="13">
        <v>104.982</v>
      </c>
      <c r="M82" s="13">
        <v>91.586</v>
      </c>
      <c r="N82" s="13">
        <v>53.644</v>
      </c>
      <c r="O82" s="13">
        <v>161.637</v>
      </c>
      <c r="P82" s="13">
        <v>706.694</v>
      </c>
      <c r="Q82" s="49">
        <f t="shared" si="8"/>
        <v>2330.893</v>
      </c>
      <c r="R82" s="13">
        <v>1730.811</v>
      </c>
      <c r="S82" s="13">
        <v>374.624</v>
      </c>
      <c r="T82" s="13">
        <v>225.458</v>
      </c>
      <c r="U82" s="49">
        <v>342.611</v>
      </c>
      <c r="V82" s="49">
        <f t="shared" si="9"/>
        <v>1100.148</v>
      </c>
      <c r="W82" s="13">
        <v>1026.622</v>
      </c>
      <c r="X82" s="13">
        <v>43.07</v>
      </c>
      <c r="Y82" s="13">
        <v>30.456</v>
      </c>
      <c r="Z82" s="49">
        <v>19.098</v>
      </c>
      <c r="AA82" s="49">
        <f t="shared" si="10"/>
        <v>719.101</v>
      </c>
      <c r="AB82" s="13">
        <v>532.687</v>
      </c>
      <c r="AC82" s="13">
        <v>0</v>
      </c>
      <c r="AD82" s="13">
        <v>147.543</v>
      </c>
      <c r="AE82" s="13">
        <v>38.871</v>
      </c>
      <c r="AF82" s="49">
        <v>699.483</v>
      </c>
      <c r="AG82" s="49">
        <v>0</v>
      </c>
      <c r="AH82" s="49">
        <v>703.002</v>
      </c>
      <c r="AI82" s="49">
        <v>94.41</v>
      </c>
      <c r="AJ82" s="49">
        <v>1434.336</v>
      </c>
      <c r="AK82" s="49">
        <v>1262.798</v>
      </c>
      <c r="AL82" s="49">
        <v>70.686</v>
      </c>
      <c r="AM82" s="14">
        <f t="shared" si="11"/>
        <v>11618.765</v>
      </c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8"/>
      <c r="ED82" s="18"/>
      <c r="EE82" s="18"/>
      <c r="EF82" s="18"/>
      <c r="EG82" s="18"/>
      <c r="EH82" s="18"/>
      <c r="EI82" s="18"/>
      <c r="EJ82" s="18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</row>
    <row r="83" spans="1:159" s="19" customFormat="1" ht="15">
      <c r="A83" s="22">
        <v>33663</v>
      </c>
      <c r="B83" s="49">
        <f t="shared" si="6"/>
        <v>942.986</v>
      </c>
      <c r="C83" s="13">
        <f>(97875+53049+104738+117702+174529+49716+207796)/1000</f>
        <v>805.405</v>
      </c>
      <c r="D83" s="13">
        <v>129.059</v>
      </c>
      <c r="E83" s="13">
        <v>8.522</v>
      </c>
      <c r="F83" s="49">
        <v>42.685</v>
      </c>
      <c r="G83" s="49">
        <f t="shared" si="7"/>
        <v>1782.926</v>
      </c>
      <c r="H83" s="13">
        <v>76.176</v>
      </c>
      <c r="I83" s="13">
        <f>(319700+9864)/1000</f>
        <v>329.564</v>
      </c>
      <c r="J83" s="13">
        <v>98.232</v>
      </c>
      <c r="K83" s="13">
        <v>196.366</v>
      </c>
      <c r="L83" s="13">
        <v>105.142</v>
      </c>
      <c r="M83" s="13">
        <v>82.057</v>
      </c>
      <c r="N83" s="13">
        <v>49.489</v>
      </c>
      <c r="O83" s="13">
        <v>193.271</v>
      </c>
      <c r="P83" s="13">
        <v>652.629</v>
      </c>
      <c r="Q83" s="49">
        <f t="shared" si="8"/>
        <v>2132.7360000000003</v>
      </c>
      <c r="R83" s="13">
        <v>1528.775</v>
      </c>
      <c r="S83" s="13">
        <v>372.402</v>
      </c>
      <c r="T83" s="13">
        <v>231.559</v>
      </c>
      <c r="U83" s="49">
        <v>401.55</v>
      </c>
      <c r="V83" s="49">
        <f t="shared" si="9"/>
        <v>1078.9859999999999</v>
      </c>
      <c r="W83" s="13">
        <v>1001.916</v>
      </c>
      <c r="X83" s="13">
        <v>44.153</v>
      </c>
      <c r="Y83" s="13">
        <v>32.917</v>
      </c>
      <c r="Z83" s="49">
        <v>33.66</v>
      </c>
      <c r="AA83" s="49">
        <f t="shared" si="10"/>
        <v>835.946</v>
      </c>
      <c r="AB83" s="13">
        <v>536.654</v>
      </c>
      <c r="AC83" s="13">
        <v>0</v>
      </c>
      <c r="AD83" s="13">
        <v>248.822</v>
      </c>
      <c r="AE83" s="13">
        <v>50.47</v>
      </c>
      <c r="AF83" s="49">
        <v>665.233</v>
      </c>
      <c r="AG83" s="49">
        <v>0</v>
      </c>
      <c r="AH83" s="49">
        <v>656.664</v>
      </c>
      <c r="AI83" s="49">
        <v>117.77</v>
      </c>
      <c r="AJ83" s="49">
        <v>1367.1</v>
      </c>
      <c r="AK83" s="49">
        <v>1237.915</v>
      </c>
      <c r="AL83" s="49">
        <v>107.74</v>
      </c>
      <c r="AM83" s="14">
        <f t="shared" si="11"/>
        <v>11403.897000000003</v>
      </c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8"/>
      <c r="ED83" s="18"/>
      <c r="EE83" s="18"/>
      <c r="EF83" s="18"/>
      <c r="EG83" s="18"/>
      <c r="EH83" s="18"/>
      <c r="EI83" s="18"/>
      <c r="EJ83" s="18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</row>
    <row r="84" spans="1:159" s="19" customFormat="1" ht="15">
      <c r="A84" s="22">
        <v>33694</v>
      </c>
      <c r="B84" s="49">
        <f t="shared" si="6"/>
        <v>1013.678</v>
      </c>
      <c r="C84" s="13">
        <f>(107860+48620+113993+135802+205484+46796+216086)/1000</f>
        <v>874.641</v>
      </c>
      <c r="D84" s="13">
        <f>(78437+52751)/1000</f>
        <v>131.188</v>
      </c>
      <c r="E84" s="13">
        <v>7.849</v>
      </c>
      <c r="F84" s="49">
        <v>46.744</v>
      </c>
      <c r="G84" s="49">
        <f t="shared" si="7"/>
        <v>1929.297</v>
      </c>
      <c r="H84" s="13">
        <v>135.756</v>
      </c>
      <c r="I84" s="13">
        <v>368.474</v>
      </c>
      <c r="J84" s="13">
        <v>94.877</v>
      </c>
      <c r="K84" s="13">
        <v>199.696</v>
      </c>
      <c r="L84" s="13">
        <v>103.469</v>
      </c>
      <c r="M84" s="13">
        <v>79.395</v>
      </c>
      <c r="N84" s="13">
        <v>52.405</v>
      </c>
      <c r="O84" s="13">
        <v>207.602</v>
      </c>
      <c r="P84" s="13">
        <v>687.623</v>
      </c>
      <c r="Q84" s="49">
        <f t="shared" si="8"/>
        <v>2151.675</v>
      </c>
      <c r="R84" s="13">
        <v>1509.218</v>
      </c>
      <c r="S84" s="13">
        <v>417.534</v>
      </c>
      <c r="T84" s="13">
        <v>224.923</v>
      </c>
      <c r="U84" s="49">
        <v>593.887</v>
      </c>
      <c r="V84" s="49">
        <f t="shared" si="9"/>
        <v>1068.927</v>
      </c>
      <c r="W84" s="13">
        <v>993.485</v>
      </c>
      <c r="X84" s="13">
        <v>43.046</v>
      </c>
      <c r="Y84" s="13">
        <v>32.396</v>
      </c>
      <c r="Z84" s="49">
        <v>26.867</v>
      </c>
      <c r="AA84" s="49">
        <f t="shared" si="10"/>
        <v>811.371</v>
      </c>
      <c r="AB84" s="13">
        <v>561.171</v>
      </c>
      <c r="AC84" s="13">
        <v>0</v>
      </c>
      <c r="AD84" s="13">
        <v>191.253</v>
      </c>
      <c r="AE84" s="13">
        <v>58.947</v>
      </c>
      <c r="AF84" s="49">
        <v>712.796</v>
      </c>
      <c r="AG84" s="49">
        <v>0</v>
      </c>
      <c r="AH84" s="49">
        <v>683.511</v>
      </c>
      <c r="AI84" s="49">
        <v>95.502</v>
      </c>
      <c r="AJ84" s="49">
        <v>1447.288</v>
      </c>
      <c r="AK84" s="49">
        <v>1319.064</v>
      </c>
      <c r="AL84" s="49">
        <v>129.882</v>
      </c>
      <c r="AM84" s="14">
        <f t="shared" si="11"/>
        <v>12030.489000000001</v>
      </c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8"/>
      <c r="ED84" s="18"/>
      <c r="EE84" s="18"/>
      <c r="EF84" s="18"/>
      <c r="EG84" s="18"/>
      <c r="EH84" s="18"/>
      <c r="EI84" s="18"/>
      <c r="EJ84" s="18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</row>
    <row r="85" spans="1:159" s="19" customFormat="1" ht="15">
      <c r="A85" s="22">
        <v>33724</v>
      </c>
      <c r="B85" s="49">
        <f t="shared" si="6"/>
        <v>1006.1500000000001</v>
      </c>
      <c r="C85" s="13">
        <f>(118571+48795+117469+134869+175670+51439+222600)/1000</f>
        <v>869.413</v>
      </c>
      <c r="D85" s="13">
        <f>(56009+73196)/1000</f>
        <v>129.205</v>
      </c>
      <c r="E85" s="13">
        <v>7.532</v>
      </c>
      <c r="F85" s="49">
        <v>47.125</v>
      </c>
      <c r="G85" s="49">
        <f t="shared" si="7"/>
        <v>1933.7729999999997</v>
      </c>
      <c r="H85" s="13">
        <v>124.821</v>
      </c>
      <c r="I85" s="13">
        <f>(325614+30172)/1000</f>
        <v>355.786</v>
      </c>
      <c r="J85" s="13">
        <v>117.625</v>
      </c>
      <c r="K85" s="13">
        <v>185.579</v>
      </c>
      <c r="L85" s="13">
        <v>115.789</v>
      </c>
      <c r="M85" s="13">
        <v>94.301</v>
      </c>
      <c r="N85" s="13">
        <v>51.662</v>
      </c>
      <c r="O85" s="13">
        <v>141.784</v>
      </c>
      <c r="P85" s="13">
        <v>746.426</v>
      </c>
      <c r="Q85" s="49">
        <f t="shared" si="8"/>
        <v>2097.598</v>
      </c>
      <c r="R85" s="13">
        <v>1481.536</v>
      </c>
      <c r="S85" s="13">
        <v>388.456</v>
      </c>
      <c r="T85" s="13">
        <v>227.606</v>
      </c>
      <c r="U85" s="49">
        <v>305.455</v>
      </c>
      <c r="V85" s="49">
        <f t="shared" si="9"/>
        <v>1033.742</v>
      </c>
      <c r="W85" s="13">
        <v>958.977</v>
      </c>
      <c r="X85" s="13">
        <v>45.749</v>
      </c>
      <c r="Y85" s="13">
        <v>29.016</v>
      </c>
      <c r="Z85" s="49">
        <v>25.874</v>
      </c>
      <c r="AA85" s="49">
        <f t="shared" si="10"/>
        <v>806.157</v>
      </c>
      <c r="AB85" s="13">
        <v>550.958</v>
      </c>
      <c r="AC85" s="13">
        <v>0</v>
      </c>
      <c r="AD85" s="13">
        <v>195.854</v>
      </c>
      <c r="AE85" s="13">
        <v>59.345</v>
      </c>
      <c r="AF85" s="49">
        <v>676.032</v>
      </c>
      <c r="AG85" s="49">
        <v>0</v>
      </c>
      <c r="AH85" s="49">
        <v>687.513</v>
      </c>
      <c r="AI85" s="49">
        <v>97.777</v>
      </c>
      <c r="AJ85" s="49">
        <v>1493.119</v>
      </c>
      <c r="AK85" s="49">
        <v>1328.314</v>
      </c>
      <c r="AL85" s="49">
        <v>96.172</v>
      </c>
      <c r="AM85" s="14">
        <f t="shared" si="11"/>
        <v>11634.801000000001</v>
      </c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8"/>
      <c r="ED85" s="18"/>
      <c r="EE85" s="18"/>
      <c r="EF85" s="18"/>
      <c r="EG85" s="18"/>
      <c r="EH85" s="18"/>
      <c r="EI85" s="18"/>
      <c r="EJ85" s="18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</row>
    <row r="86" spans="1:159" s="19" customFormat="1" ht="15">
      <c r="A86" s="22">
        <v>33755</v>
      </c>
      <c r="B86" s="49">
        <f t="shared" si="6"/>
        <v>970.659</v>
      </c>
      <c r="C86" s="13">
        <f>(102683+45689+121059+175976+53056+235249+101579)/1000</f>
        <v>835.291</v>
      </c>
      <c r="D86" s="13">
        <f>(76362+51711)/1000</f>
        <v>128.073</v>
      </c>
      <c r="E86" s="13">
        <v>7.295</v>
      </c>
      <c r="F86" s="49">
        <v>51.872</v>
      </c>
      <c r="G86" s="49">
        <f t="shared" si="7"/>
        <v>2033.3990000000001</v>
      </c>
      <c r="H86" s="13">
        <v>109.756</v>
      </c>
      <c r="I86" s="13">
        <f>(315284+9441)/1000</f>
        <v>324.725</v>
      </c>
      <c r="J86" s="13">
        <v>101.2</v>
      </c>
      <c r="K86" s="13">
        <v>180.104</v>
      </c>
      <c r="L86" s="13">
        <v>112.883</v>
      </c>
      <c r="M86" s="13">
        <v>91.327</v>
      </c>
      <c r="N86" s="13">
        <v>69.091</v>
      </c>
      <c r="O86" s="13">
        <v>282.965</v>
      </c>
      <c r="P86" s="13">
        <v>761.348</v>
      </c>
      <c r="Q86" s="49">
        <f t="shared" si="8"/>
        <v>1867.153</v>
      </c>
      <c r="R86" s="13">
        <v>1289.951</v>
      </c>
      <c r="S86" s="13">
        <v>358.663</v>
      </c>
      <c r="T86" s="13">
        <v>218.539</v>
      </c>
      <c r="U86" s="49">
        <v>311.766</v>
      </c>
      <c r="V86" s="49">
        <f t="shared" si="9"/>
        <v>1048.369</v>
      </c>
      <c r="W86" s="13">
        <v>983.122</v>
      </c>
      <c r="X86" s="13">
        <v>38.132</v>
      </c>
      <c r="Y86" s="13">
        <v>27.115</v>
      </c>
      <c r="Z86" s="49">
        <v>25.686</v>
      </c>
      <c r="AA86" s="49">
        <f t="shared" si="10"/>
        <v>876.95</v>
      </c>
      <c r="AB86" s="13">
        <v>536.862</v>
      </c>
      <c r="AC86" s="13">
        <v>0</v>
      </c>
      <c r="AD86" s="13">
        <v>304.137</v>
      </c>
      <c r="AE86" s="13">
        <v>35.951</v>
      </c>
      <c r="AF86" s="49">
        <v>695.979</v>
      </c>
      <c r="AG86" s="49">
        <v>0</v>
      </c>
      <c r="AH86" s="49">
        <v>634.576</v>
      </c>
      <c r="AI86" s="49">
        <v>105.645</v>
      </c>
      <c r="AJ86" s="49">
        <v>1490.153</v>
      </c>
      <c r="AK86" s="49">
        <v>1249.473</v>
      </c>
      <c r="AL86" s="49">
        <v>88.717</v>
      </c>
      <c r="AM86" s="14">
        <f t="shared" si="11"/>
        <v>11450.397</v>
      </c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8"/>
      <c r="ED86" s="18"/>
      <c r="EE86" s="18"/>
      <c r="EF86" s="18"/>
      <c r="EG86" s="18"/>
      <c r="EH86" s="18"/>
      <c r="EI86" s="18"/>
      <c r="EJ86" s="18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</row>
    <row r="87" spans="1:159" s="19" customFormat="1" ht="15">
      <c r="A87" s="22">
        <v>33785</v>
      </c>
      <c r="B87" s="49">
        <f t="shared" si="6"/>
        <v>972.629</v>
      </c>
      <c r="C87" s="13">
        <f>(101420+46183+113727+105037+187500+56556+229398)/1000</f>
        <v>839.821</v>
      </c>
      <c r="D87" s="13">
        <f>(88311+37441)/1000</f>
        <v>125.752</v>
      </c>
      <c r="E87" s="13">
        <v>7.056</v>
      </c>
      <c r="F87" s="49">
        <v>78.65</v>
      </c>
      <c r="G87" s="49">
        <f t="shared" si="7"/>
        <v>2062.1620000000003</v>
      </c>
      <c r="H87" s="13">
        <v>145.191</v>
      </c>
      <c r="I87" s="13">
        <f>(328093+34273)/1000</f>
        <v>362.366</v>
      </c>
      <c r="J87" s="13">
        <v>88.589</v>
      </c>
      <c r="K87" s="13">
        <v>194.556</v>
      </c>
      <c r="L87" s="13">
        <v>117.7</v>
      </c>
      <c r="M87" s="13">
        <v>91.896</v>
      </c>
      <c r="N87" s="13">
        <v>65.579</v>
      </c>
      <c r="O87" s="13">
        <v>212.42</v>
      </c>
      <c r="P87" s="13">
        <v>783.865</v>
      </c>
      <c r="Q87" s="49">
        <f t="shared" si="8"/>
        <v>2102.7599999999998</v>
      </c>
      <c r="R87" s="13">
        <v>1538.307</v>
      </c>
      <c r="S87" s="13">
        <v>353.348</v>
      </c>
      <c r="T87" s="13">
        <v>211.105</v>
      </c>
      <c r="U87" s="49">
        <v>262.706</v>
      </c>
      <c r="V87" s="49">
        <f t="shared" si="9"/>
        <v>1071.3280000000002</v>
      </c>
      <c r="W87" s="13">
        <v>997.263</v>
      </c>
      <c r="X87" s="13">
        <v>35.579</v>
      </c>
      <c r="Y87" s="13">
        <v>38.486</v>
      </c>
      <c r="Z87" s="49">
        <v>26.817</v>
      </c>
      <c r="AA87" s="49">
        <f t="shared" si="10"/>
        <v>790.566</v>
      </c>
      <c r="AB87" s="13">
        <v>607.773</v>
      </c>
      <c r="AC87" s="13">
        <v>0</v>
      </c>
      <c r="AD87" s="13">
        <v>152.268</v>
      </c>
      <c r="AE87" s="13">
        <v>30.525</v>
      </c>
      <c r="AF87" s="49">
        <v>756.275</v>
      </c>
      <c r="AG87" s="49">
        <v>0</v>
      </c>
      <c r="AH87" s="49">
        <v>694.009</v>
      </c>
      <c r="AI87" s="49">
        <v>98.064</v>
      </c>
      <c r="AJ87" s="49">
        <v>1535.7</v>
      </c>
      <c r="AK87" s="49">
        <v>1365.613</v>
      </c>
      <c r="AL87" s="49">
        <v>22.641</v>
      </c>
      <c r="AM87" s="14">
        <f t="shared" si="11"/>
        <v>11839.92</v>
      </c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8"/>
      <c r="ED87" s="18"/>
      <c r="EE87" s="18"/>
      <c r="EF87" s="18"/>
      <c r="EG87" s="18"/>
      <c r="EH87" s="18"/>
      <c r="EI87" s="18"/>
      <c r="EJ87" s="18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</row>
    <row r="88" spans="1:159" s="19" customFormat="1" ht="15">
      <c r="A88" s="22">
        <v>33816</v>
      </c>
      <c r="B88" s="49">
        <f t="shared" si="6"/>
        <v>983.168</v>
      </c>
      <c r="C88" s="13">
        <f>(105906+47489+132282+118836+173921+48580+226675)/1000</f>
        <v>853.689</v>
      </c>
      <c r="D88" s="13">
        <f>(81745+41000)/1000</f>
        <v>122.745</v>
      </c>
      <c r="E88" s="13">
        <v>6.734</v>
      </c>
      <c r="F88" s="49">
        <v>78.262</v>
      </c>
      <c r="G88" s="49">
        <f t="shared" si="7"/>
        <v>2135.39</v>
      </c>
      <c r="H88" s="13">
        <v>147.753</v>
      </c>
      <c r="I88" s="13">
        <f>(294843+9455)/1000</f>
        <v>304.298</v>
      </c>
      <c r="J88" s="13">
        <v>97.623</v>
      </c>
      <c r="K88" s="13">
        <v>184.13</v>
      </c>
      <c r="L88" s="13">
        <v>106.742</v>
      </c>
      <c r="M88" s="13">
        <v>86.737</v>
      </c>
      <c r="N88" s="13">
        <v>61.336</v>
      </c>
      <c r="O88" s="13">
        <v>211.017</v>
      </c>
      <c r="P88" s="13">
        <v>935.754</v>
      </c>
      <c r="Q88" s="49">
        <f t="shared" si="8"/>
        <v>2057.4809999999998</v>
      </c>
      <c r="R88" s="13">
        <v>1513.856</v>
      </c>
      <c r="S88" s="13">
        <v>352.453</v>
      </c>
      <c r="T88" s="13">
        <v>191.172</v>
      </c>
      <c r="U88" s="49">
        <v>339.617</v>
      </c>
      <c r="V88" s="49">
        <f t="shared" si="9"/>
        <v>1065.8509999999999</v>
      </c>
      <c r="W88" s="13">
        <v>996.649</v>
      </c>
      <c r="X88" s="13">
        <v>34.336</v>
      </c>
      <c r="Y88" s="13">
        <v>34.866</v>
      </c>
      <c r="Z88" s="49">
        <v>33.127</v>
      </c>
      <c r="AA88" s="49">
        <f t="shared" si="10"/>
        <v>853.9870000000001</v>
      </c>
      <c r="AB88" s="13">
        <v>590.042</v>
      </c>
      <c r="AC88" s="13">
        <v>0</v>
      </c>
      <c r="AD88" s="13">
        <v>216.675</v>
      </c>
      <c r="AE88" s="13">
        <v>47.27</v>
      </c>
      <c r="AF88" s="49">
        <v>712.761</v>
      </c>
      <c r="AG88" s="49">
        <v>0</v>
      </c>
      <c r="AH88" s="49">
        <v>680.023</v>
      </c>
      <c r="AI88" s="49">
        <v>98.04</v>
      </c>
      <c r="AJ88" s="49">
        <v>1351.41</v>
      </c>
      <c r="AK88" s="49">
        <v>1383.043</v>
      </c>
      <c r="AL88" s="49">
        <v>24.385</v>
      </c>
      <c r="AM88" s="14">
        <f t="shared" si="11"/>
        <v>11796.545</v>
      </c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8"/>
      <c r="ED88" s="18"/>
      <c r="EE88" s="18"/>
      <c r="EF88" s="18"/>
      <c r="EG88" s="18"/>
      <c r="EH88" s="18"/>
      <c r="EI88" s="18"/>
      <c r="EJ88" s="18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</row>
    <row r="89" spans="1:159" s="19" customFormat="1" ht="15">
      <c r="A89" s="22">
        <v>33847</v>
      </c>
      <c r="B89" s="49">
        <f t="shared" si="6"/>
        <v>1027.527</v>
      </c>
      <c r="C89" s="13">
        <f>(94035+45319+120311+190204+168483+50321+244515)/1000</f>
        <v>913.188</v>
      </c>
      <c r="D89" s="13">
        <f>(65879+41327)/1000</f>
        <v>107.206</v>
      </c>
      <c r="E89" s="13">
        <v>7.133</v>
      </c>
      <c r="F89" s="49">
        <v>69.422</v>
      </c>
      <c r="G89" s="49">
        <f t="shared" si="7"/>
        <v>2150.455</v>
      </c>
      <c r="H89" s="13">
        <v>125.847</v>
      </c>
      <c r="I89" s="13">
        <f>(263594+9019)/1000</f>
        <v>272.613</v>
      </c>
      <c r="J89" s="13">
        <v>92.962</v>
      </c>
      <c r="K89" s="13">
        <v>380.741</v>
      </c>
      <c r="L89" s="13">
        <v>106.46</v>
      </c>
      <c r="M89" s="13">
        <v>92.744</v>
      </c>
      <c r="N89" s="13">
        <v>49.611</v>
      </c>
      <c r="O89" s="13">
        <v>209.86</v>
      </c>
      <c r="P89" s="13">
        <v>819.617</v>
      </c>
      <c r="Q89" s="49">
        <f t="shared" si="8"/>
        <v>2184.018</v>
      </c>
      <c r="R89" s="13">
        <v>1613.585</v>
      </c>
      <c r="S89" s="13">
        <v>385.753</v>
      </c>
      <c r="T89" s="13">
        <v>184.68</v>
      </c>
      <c r="U89" s="49">
        <v>408.487</v>
      </c>
      <c r="V89" s="49">
        <f t="shared" si="9"/>
        <v>1028.432</v>
      </c>
      <c r="W89" s="13">
        <v>938.22</v>
      </c>
      <c r="X89" s="13">
        <v>38.937</v>
      </c>
      <c r="Y89" s="13">
        <v>51.275</v>
      </c>
      <c r="Z89" s="49">
        <v>36.941</v>
      </c>
      <c r="AA89" s="49">
        <f t="shared" si="10"/>
        <v>891.423</v>
      </c>
      <c r="AB89" s="13">
        <v>570.118</v>
      </c>
      <c r="AC89" s="13">
        <v>0</v>
      </c>
      <c r="AD89" s="13">
        <v>269.928</v>
      </c>
      <c r="AE89" s="13">
        <v>51.377</v>
      </c>
      <c r="AF89" s="49">
        <v>677.193</v>
      </c>
      <c r="AG89" s="49">
        <v>0</v>
      </c>
      <c r="AH89" s="49">
        <v>773.184</v>
      </c>
      <c r="AI89" s="49">
        <v>117.047</v>
      </c>
      <c r="AJ89" s="49">
        <v>1389.388</v>
      </c>
      <c r="AK89" s="49">
        <v>1417.56</v>
      </c>
      <c r="AL89" s="49">
        <v>22.867</v>
      </c>
      <c r="AM89" s="14">
        <f t="shared" si="11"/>
        <v>12193.944</v>
      </c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8"/>
      <c r="ED89" s="18"/>
      <c r="EE89" s="18"/>
      <c r="EF89" s="18"/>
      <c r="EG89" s="18"/>
      <c r="EH89" s="18"/>
      <c r="EI89" s="18"/>
      <c r="EJ89" s="18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</row>
    <row r="90" spans="1:159" s="19" customFormat="1" ht="15">
      <c r="A90" s="22">
        <v>33877</v>
      </c>
      <c r="B90" s="49">
        <f t="shared" si="6"/>
        <v>1083.211</v>
      </c>
      <c r="C90" s="13">
        <f>(101346+55984+124363+209083+164275+50316+257844)/1000</f>
        <v>963.211</v>
      </c>
      <c r="D90" s="13">
        <f>(73457+40201)/1000</f>
        <v>113.658</v>
      </c>
      <c r="E90" s="13">
        <v>6.342</v>
      </c>
      <c r="F90" s="49">
        <v>76.267</v>
      </c>
      <c r="G90" s="49">
        <f t="shared" si="7"/>
        <v>2199.026</v>
      </c>
      <c r="H90" s="13">
        <v>107.124</v>
      </c>
      <c r="I90" s="13">
        <f>(279418+8969)/1000</f>
        <v>288.387</v>
      </c>
      <c r="J90" s="13">
        <v>77.569</v>
      </c>
      <c r="K90" s="13">
        <v>183.086</v>
      </c>
      <c r="L90" s="13">
        <v>116.845</v>
      </c>
      <c r="M90" s="13">
        <v>84.914</v>
      </c>
      <c r="N90" s="13">
        <v>41.534</v>
      </c>
      <c r="O90" s="13">
        <v>222.973</v>
      </c>
      <c r="P90" s="13">
        <v>1076.594</v>
      </c>
      <c r="Q90" s="49">
        <f t="shared" si="8"/>
        <v>2338.945</v>
      </c>
      <c r="R90" s="13">
        <v>1752.556</v>
      </c>
      <c r="S90" s="13">
        <v>374.563</v>
      </c>
      <c r="T90" s="13">
        <v>211.826</v>
      </c>
      <c r="U90" s="49">
        <v>297.555</v>
      </c>
      <c r="V90" s="49">
        <f t="shared" si="9"/>
        <v>1036.231</v>
      </c>
      <c r="W90" s="13">
        <v>962.886</v>
      </c>
      <c r="X90" s="13">
        <v>38.905</v>
      </c>
      <c r="Y90" s="13">
        <v>34.44</v>
      </c>
      <c r="Z90" s="49">
        <v>43.826</v>
      </c>
      <c r="AA90" s="49">
        <f t="shared" si="10"/>
        <v>719.6030000000001</v>
      </c>
      <c r="AB90" s="13">
        <v>566.131</v>
      </c>
      <c r="AC90" s="13">
        <v>0</v>
      </c>
      <c r="AD90" s="13">
        <v>105.176</v>
      </c>
      <c r="AE90" s="13">
        <v>48.296</v>
      </c>
      <c r="AF90" s="49">
        <v>755.507</v>
      </c>
      <c r="AG90" s="49">
        <v>0</v>
      </c>
      <c r="AH90" s="49">
        <v>768.785</v>
      </c>
      <c r="AI90" s="49">
        <v>111.745</v>
      </c>
      <c r="AJ90" s="49">
        <v>1437.242</v>
      </c>
      <c r="AK90" s="49">
        <v>1595.761</v>
      </c>
      <c r="AL90" s="49">
        <v>27.512</v>
      </c>
      <c r="AM90" s="14">
        <f t="shared" si="11"/>
        <v>12491.216000000002</v>
      </c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8"/>
      <c r="ED90" s="18"/>
      <c r="EE90" s="18"/>
      <c r="EF90" s="18"/>
      <c r="EG90" s="18"/>
      <c r="EH90" s="18"/>
      <c r="EI90" s="18"/>
      <c r="EJ90" s="18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</row>
    <row r="91" spans="1:159" s="19" customFormat="1" ht="15">
      <c r="A91" s="22">
        <v>33908</v>
      </c>
      <c r="B91" s="49">
        <f t="shared" si="6"/>
        <v>1119.8360000000002</v>
      </c>
      <c r="C91" s="13">
        <f>(113464+52136+129165+211859+173007+52862+268414)/1000</f>
        <v>1000.907</v>
      </c>
      <c r="D91" s="13">
        <f>(78070+34758)/1000</f>
        <v>112.828</v>
      </c>
      <c r="E91" s="13">
        <v>6.101</v>
      </c>
      <c r="F91" s="49">
        <v>76.128</v>
      </c>
      <c r="G91" s="49">
        <f t="shared" si="7"/>
        <v>1909.096</v>
      </c>
      <c r="H91" s="13">
        <v>107.242</v>
      </c>
      <c r="I91" s="13">
        <f>(280439+10048)/1000</f>
        <v>290.487</v>
      </c>
      <c r="J91" s="13">
        <v>76.104</v>
      </c>
      <c r="K91" s="13">
        <v>199.783</v>
      </c>
      <c r="L91" s="13">
        <v>144.21</v>
      </c>
      <c r="M91" s="13">
        <v>75.007</v>
      </c>
      <c r="N91" s="13">
        <v>90.05</v>
      </c>
      <c r="O91" s="13">
        <v>210.85</v>
      </c>
      <c r="P91" s="13">
        <v>715.363</v>
      </c>
      <c r="Q91" s="49">
        <f t="shared" si="8"/>
        <v>2281.869</v>
      </c>
      <c r="R91" s="13">
        <v>1796.564</v>
      </c>
      <c r="S91" s="13">
        <v>294.479</v>
      </c>
      <c r="T91" s="13">
        <v>190.826</v>
      </c>
      <c r="U91" s="49">
        <v>214.632</v>
      </c>
      <c r="V91" s="49">
        <f t="shared" si="9"/>
        <v>1053.7820000000002</v>
      </c>
      <c r="W91" s="13">
        <v>987.931</v>
      </c>
      <c r="X91" s="13">
        <v>38.286</v>
      </c>
      <c r="Y91" s="13">
        <v>27.565</v>
      </c>
      <c r="Z91" s="49">
        <v>48.863</v>
      </c>
      <c r="AA91" s="49">
        <f t="shared" si="10"/>
        <v>936.957</v>
      </c>
      <c r="AB91" s="13">
        <v>683.767</v>
      </c>
      <c r="AC91" s="13">
        <v>0.011</v>
      </c>
      <c r="AD91" s="13">
        <v>208.934</v>
      </c>
      <c r="AE91" s="13">
        <v>44.245</v>
      </c>
      <c r="AF91" s="49">
        <v>799.548</v>
      </c>
      <c r="AG91" s="49">
        <v>0</v>
      </c>
      <c r="AH91" s="49">
        <v>810.556</v>
      </c>
      <c r="AI91" s="49">
        <v>115.784</v>
      </c>
      <c r="AJ91" s="49">
        <v>1402.663</v>
      </c>
      <c r="AK91" s="49">
        <v>1692.142</v>
      </c>
      <c r="AL91" s="49">
        <v>27.981</v>
      </c>
      <c r="AM91" s="14">
        <f t="shared" si="11"/>
        <v>12489.837000000001</v>
      </c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8"/>
      <c r="ED91" s="18"/>
      <c r="EE91" s="18"/>
      <c r="EF91" s="18"/>
      <c r="EG91" s="18"/>
      <c r="EH91" s="18"/>
      <c r="EI91" s="18"/>
      <c r="EJ91" s="18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</row>
    <row r="92" spans="1:159" s="19" customFormat="1" ht="15">
      <c r="A92" s="22">
        <v>33938</v>
      </c>
      <c r="B92" s="49">
        <f t="shared" si="6"/>
        <v>1109.943</v>
      </c>
      <c r="C92" s="13">
        <f>(108207+47105+132412+197382+178579+56117+263769)/1000</f>
        <v>983.571</v>
      </c>
      <c r="D92" s="13">
        <f>(80302+39935)/1000</f>
        <v>120.237</v>
      </c>
      <c r="E92" s="13">
        <v>6.135</v>
      </c>
      <c r="F92" s="49">
        <v>69.666</v>
      </c>
      <c r="G92" s="49">
        <f t="shared" si="7"/>
        <v>1883.248</v>
      </c>
      <c r="H92" s="13">
        <v>109.517</v>
      </c>
      <c r="I92" s="13">
        <f>(330959+10306)/1000</f>
        <v>341.265</v>
      </c>
      <c r="J92" s="13">
        <v>73.237</v>
      </c>
      <c r="K92" s="13">
        <v>218.519</v>
      </c>
      <c r="L92" s="13">
        <v>136.044</v>
      </c>
      <c r="M92" s="13">
        <v>67.009</v>
      </c>
      <c r="N92" s="13">
        <v>56.435</v>
      </c>
      <c r="O92" s="13">
        <v>212.435</v>
      </c>
      <c r="P92" s="13">
        <v>668.787</v>
      </c>
      <c r="Q92" s="49">
        <f t="shared" si="8"/>
        <v>2211.508</v>
      </c>
      <c r="R92" s="13">
        <v>1728.578</v>
      </c>
      <c r="S92" s="13">
        <v>284.624</v>
      </c>
      <c r="T92" s="13">
        <v>198.306</v>
      </c>
      <c r="U92" s="49">
        <v>253.196</v>
      </c>
      <c r="V92" s="49">
        <f t="shared" si="9"/>
        <v>1089.193</v>
      </c>
      <c r="W92" s="13">
        <v>1022.082</v>
      </c>
      <c r="X92" s="13">
        <v>37.818</v>
      </c>
      <c r="Y92" s="13">
        <v>29.293</v>
      </c>
      <c r="Z92" s="49">
        <v>206.296</v>
      </c>
      <c r="AA92" s="49">
        <f t="shared" si="10"/>
        <v>958.835</v>
      </c>
      <c r="AB92" s="13">
        <v>668.974</v>
      </c>
      <c r="AC92" s="13">
        <v>0</v>
      </c>
      <c r="AD92" s="13">
        <v>250.543</v>
      </c>
      <c r="AE92" s="13">
        <v>39.318</v>
      </c>
      <c r="AF92" s="49">
        <v>840.457</v>
      </c>
      <c r="AG92" s="49">
        <v>0</v>
      </c>
      <c r="AH92" s="49">
        <v>904.264</v>
      </c>
      <c r="AI92" s="49">
        <v>242.624</v>
      </c>
      <c r="AJ92" s="49">
        <v>1360.085</v>
      </c>
      <c r="AK92" s="49">
        <v>1926.337</v>
      </c>
      <c r="AL92" s="49">
        <v>25.728</v>
      </c>
      <c r="AM92" s="14">
        <f t="shared" si="11"/>
        <v>13081.379999999997</v>
      </c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8"/>
      <c r="ED92" s="18"/>
      <c r="EE92" s="18"/>
      <c r="EF92" s="18"/>
      <c r="EG92" s="18"/>
      <c r="EH92" s="18"/>
      <c r="EI92" s="18"/>
      <c r="EJ92" s="18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</row>
    <row r="93" spans="1:159" s="19" customFormat="1" ht="15">
      <c r="A93" s="22">
        <v>33969</v>
      </c>
      <c r="B93" s="49">
        <f t="shared" si="6"/>
        <v>1117.086</v>
      </c>
      <c r="C93" s="13">
        <f>(104883+43876+142413+193003+177192+55947+263206)/1000</f>
        <v>980.52</v>
      </c>
      <c r="D93" s="13">
        <f>(82056+47787)/1000</f>
        <v>129.843</v>
      </c>
      <c r="E93" s="13">
        <v>6.723</v>
      </c>
      <c r="F93" s="49">
        <v>73.405</v>
      </c>
      <c r="G93" s="49">
        <f t="shared" si="7"/>
        <v>2119.937</v>
      </c>
      <c r="H93" s="13">
        <v>118.814</v>
      </c>
      <c r="I93" s="13">
        <f>(366323+10570)/1000</f>
        <v>376.893</v>
      </c>
      <c r="J93" s="13">
        <v>94.613</v>
      </c>
      <c r="K93" s="13">
        <v>212.115</v>
      </c>
      <c r="L93" s="13">
        <v>143.615</v>
      </c>
      <c r="M93" s="13">
        <v>75.595</v>
      </c>
      <c r="N93" s="13">
        <v>93.981</v>
      </c>
      <c r="O93" s="13">
        <v>213.097</v>
      </c>
      <c r="P93" s="13">
        <v>791.214</v>
      </c>
      <c r="Q93" s="49">
        <f t="shared" si="8"/>
        <v>2473.946</v>
      </c>
      <c r="R93" s="13">
        <v>1917.114</v>
      </c>
      <c r="S93" s="13">
        <v>281.007</v>
      </c>
      <c r="T93" s="13">
        <v>275.825</v>
      </c>
      <c r="U93" s="49">
        <v>325.454</v>
      </c>
      <c r="V93" s="49">
        <f t="shared" si="9"/>
        <v>1137.678</v>
      </c>
      <c r="W93" s="13">
        <v>1069.882</v>
      </c>
      <c r="X93" s="13">
        <v>37.784</v>
      </c>
      <c r="Y93" s="13">
        <v>30.012</v>
      </c>
      <c r="Z93" s="49">
        <v>238.489</v>
      </c>
      <c r="AA93" s="49">
        <f t="shared" si="10"/>
        <v>813.2220000000001</v>
      </c>
      <c r="AB93" s="13">
        <v>654.421</v>
      </c>
      <c r="AC93" s="13">
        <v>0</v>
      </c>
      <c r="AD93" s="13">
        <v>123.836</v>
      </c>
      <c r="AE93" s="13">
        <v>34.965</v>
      </c>
      <c r="AF93" s="49">
        <v>844.266</v>
      </c>
      <c r="AG93" s="49">
        <v>0</v>
      </c>
      <c r="AH93" s="49">
        <v>1027.752</v>
      </c>
      <c r="AI93" s="49">
        <v>270.368</v>
      </c>
      <c r="AJ93" s="49">
        <v>1524.257</v>
      </c>
      <c r="AK93" s="49">
        <v>2090.225</v>
      </c>
      <c r="AL93" s="49">
        <v>38.977</v>
      </c>
      <c r="AM93" s="14">
        <f t="shared" si="11"/>
        <v>14095.062</v>
      </c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8"/>
      <c r="ED93" s="18"/>
      <c r="EE93" s="18"/>
      <c r="EF93" s="18"/>
      <c r="EG93" s="18"/>
      <c r="EH93" s="18"/>
      <c r="EI93" s="18"/>
      <c r="EJ93" s="18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</row>
    <row r="94" spans="1:159" s="19" customFormat="1" ht="15">
      <c r="A94" s="22">
        <v>34000</v>
      </c>
      <c r="B94" s="49">
        <f t="shared" si="6"/>
        <v>1135.7459999999999</v>
      </c>
      <c r="C94" s="13">
        <f>(112994+51482+142964+166789+185058+60385+292303)/1000</f>
        <v>1011.975</v>
      </c>
      <c r="D94" s="13">
        <f>(77062+40120)/1000</f>
        <v>117.182</v>
      </c>
      <c r="E94" s="13">
        <v>6.589</v>
      </c>
      <c r="F94" s="49">
        <v>97.4</v>
      </c>
      <c r="G94" s="49">
        <f t="shared" si="7"/>
        <v>2118.494</v>
      </c>
      <c r="H94" s="13">
        <v>113.763</v>
      </c>
      <c r="I94" s="13">
        <f>(398084+9909)/1000</f>
        <v>407.993</v>
      </c>
      <c r="J94" s="13">
        <v>90.864</v>
      </c>
      <c r="K94" s="13">
        <v>248.44</v>
      </c>
      <c r="L94" s="13">
        <v>131.09</v>
      </c>
      <c r="M94" s="13">
        <v>81.126</v>
      </c>
      <c r="N94" s="13">
        <v>107.596</v>
      </c>
      <c r="O94" s="13">
        <v>227.87</v>
      </c>
      <c r="P94" s="13">
        <v>709.752</v>
      </c>
      <c r="Q94" s="49">
        <f t="shared" si="8"/>
        <v>2341.822</v>
      </c>
      <c r="R94" s="13">
        <v>1850.557</v>
      </c>
      <c r="S94" s="13">
        <v>265.378</v>
      </c>
      <c r="T94" s="13">
        <v>225.887</v>
      </c>
      <c r="U94" s="49">
        <v>399.33</v>
      </c>
      <c r="V94" s="49">
        <f t="shared" si="9"/>
        <v>1298.3749999999998</v>
      </c>
      <c r="W94" s="13">
        <v>1233.503</v>
      </c>
      <c r="X94" s="13">
        <v>29.416</v>
      </c>
      <c r="Y94" s="13">
        <v>35.456</v>
      </c>
      <c r="Z94" s="49">
        <v>69.486</v>
      </c>
      <c r="AA94" s="49">
        <f t="shared" si="10"/>
        <v>904.584</v>
      </c>
      <c r="AB94" s="13">
        <v>653.446</v>
      </c>
      <c r="AC94" s="13">
        <v>0</v>
      </c>
      <c r="AD94" s="13">
        <v>206.319</v>
      </c>
      <c r="AE94" s="13">
        <v>44.819</v>
      </c>
      <c r="AF94" s="49">
        <v>897.984</v>
      </c>
      <c r="AG94" s="49">
        <v>0</v>
      </c>
      <c r="AH94" s="49">
        <v>1288.906</v>
      </c>
      <c r="AI94" s="49">
        <v>129.929</v>
      </c>
      <c r="AJ94" s="49">
        <v>1714.872</v>
      </c>
      <c r="AK94" s="49">
        <v>2174.487</v>
      </c>
      <c r="AL94" s="49">
        <v>45.988</v>
      </c>
      <c r="AM94" s="14">
        <f t="shared" si="11"/>
        <v>14617.403</v>
      </c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8"/>
      <c r="ED94" s="18"/>
      <c r="EE94" s="18"/>
      <c r="EF94" s="18"/>
      <c r="EG94" s="18"/>
      <c r="EH94" s="18"/>
      <c r="EI94" s="18"/>
      <c r="EJ94" s="18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</row>
    <row r="95" spans="1:159" s="19" customFormat="1" ht="15">
      <c r="A95" s="22">
        <v>34028</v>
      </c>
      <c r="B95" s="49">
        <f t="shared" si="6"/>
        <v>1092.9729999999997</v>
      </c>
      <c r="C95" s="13">
        <f>(112542+49239+166584+163522+144870+59686+270766)/1000</f>
        <v>967.209</v>
      </c>
      <c r="D95" s="13">
        <f>(73446+45996)/1000</f>
        <v>119.442</v>
      </c>
      <c r="E95" s="13">
        <v>6.322</v>
      </c>
      <c r="F95" s="49">
        <v>82.97</v>
      </c>
      <c r="G95" s="49">
        <f t="shared" si="7"/>
        <v>2139.303</v>
      </c>
      <c r="H95" s="13">
        <v>124.388</v>
      </c>
      <c r="I95" s="13">
        <f>(387312+6874)/1000</f>
        <v>394.186</v>
      </c>
      <c r="J95" s="13">
        <v>104.618</v>
      </c>
      <c r="K95" s="13">
        <v>246.462</v>
      </c>
      <c r="L95" s="13">
        <v>133.729</v>
      </c>
      <c r="M95" s="13">
        <v>88.132</v>
      </c>
      <c r="N95" s="13">
        <v>106.889</v>
      </c>
      <c r="O95" s="13">
        <v>214.808</v>
      </c>
      <c r="P95" s="13">
        <v>726.091</v>
      </c>
      <c r="Q95" s="49">
        <f t="shared" si="8"/>
        <v>2617.657</v>
      </c>
      <c r="R95" s="13">
        <v>2053.637</v>
      </c>
      <c r="S95" s="13">
        <v>326.979</v>
      </c>
      <c r="T95" s="13">
        <v>237.041</v>
      </c>
      <c r="U95" s="49">
        <v>236.105</v>
      </c>
      <c r="V95" s="49">
        <f t="shared" si="9"/>
        <v>1358.5549999999998</v>
      </c>
      <c r="W95" s="13">
        <v>1270.658</v>
      </c>
      <c r="X95" s="13">
        <v>31.229</v>
      </c>
      <c r="Y95" s="13">
        <v>56.668</v>
      </c>
      <c r="Z95" s="49">
        <v>59.058</v>
      </c>
      <c r="AA95" s="49">
        <f t="shared" si="10"/>
        <v>824.077</v>
      </c>
      <c r="AB95" s="13">
        <v>646.821</v>
      </c>
      <c r="AC95" s="13">
        <v>0.529</v>
      </c>
      <c r="AD95" s="13">
        <v>133.357</v>
      </c>
      <c r="AE95" s="13">
        <v>43.37</v>
      </c>
      <c r="AF95" s="49">
        <v>969.022</v>
      </c>
      <c r="AG95" s="49">
        <v>0</v>
      </c>
      <c r="AH95" s="49">
        <v>1213.531</v>
      </c>
      <c r="AI95" s="49">
        <v>120.61</v>
      </c>
      <c r="AJ95" s="49">
        <v>1903.415</v>
      </c>
      <c r="AK95" s="49">
        <v>2414.177</v>
      </c>
      <c r="AL95" s="49">
        <v>55.51</v>
      </c>
      <c r="AM95" s="14">
        <f t="shared" si="11"/>
        <v>15086.963000000002</v>
      </c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8"/>
      <c r="ED95" s="18"/>
      <c r="EE95" s="18"/>
      <c r="EF95" s="18"/>
      <c r="EG95" s="18"/>
      <c r="EH95" s="18"/>
      <c r="EI95" s="18"/>
      <c r="EJ95" s="18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</row>
    <row r="96" spans="1:159" s="19" customFormat="1" ht="15">
      <c r="A96" s="22">
        <v>34059</v>
      </c>
      <c r="B96" s="49">
        <f t="shared" si="6"/>
        <v>1078.6139999999998</v>
      </c>
      <c r="C96" s="13">
        <f>(109479+59234+180247+106773+138058+68781+292161)/1000</f>
        <v>954.733</v>
      </c>
      <c r="D96" s="13">
        <f>(68009+42216)/1000</f>
        <v>110.225</v>
      </c>
      <c r="E96" s="13">
        <v>13.656</v>
      </c>
      <c r="F96" s="49">
        <v>130.541</v>
      </c>
      <c r="G96" s="49">
        <f t="shared" si="7"/>
        <v>2186.6620000000003</v>
      </c>
      <c r="H96" s="13">
        <v>93.988</v>
      </c>
      <c r="I96" s="13">
        <v>446.106</v>
      </c>
      <c r="J96" s="13">
        <v>97.846</v>
      </c>
      <c r="K96" s="13">
        <v>245.831</v>
      </c>
      <c r="L96" s="13">
        <v>137.586</v>
      </c>
      <c r="M96" s="13">
        <v>94.861</v>
      </c>
      <c r="N96" s="13">
        <v>99.327</v>
      </c>
      <c r="O96" s="13">
        <v>146.485</v>
      </c>
      <c r="P96" s="13">
        <v>824.632</v>
      </c>
      <c r="Q96" s="49">
        <f t="shared" si="8"/>
        <v>3074.7169999999996</v>
      </c>
      <c r="R96" s="13">
        <v>2385.638</v>
      </c>
      <c r="S96" s="13">
        <v>439.819</v>
      </c>
      <c r="T96" s="13">
        <v>249.26</v>
      </c>
      <c r="U96" s="49">
        <v>275.465</v>
      </c>
      <c r="V96" s="49">
        <f t="shared" si="9"/>
        <v>1612.975</v>
      </c>
      <c r="W96" s="13">
        <v>1485.314</v>
      </c>
      <c r="X96" s="13">
        <v>32.725</v>
      </c>
      <c r="Y96" s="13">
        <v>94.936</v>
      </c>
      <c r="Z96" s="49">
        <v>75.487</v>
      </c>
      <c r="AA96" s="49">
        <f t="shared" si="10"/>
        <v>930.597</v>
      </c>
      <c r="AB96" s="13">
        <v>622.084</v>
      </c>
      <c r="AC96" s="13">
        <v>0.734</v>
      </c>
      <c r="AD96" s="13">
        <v>263.405</v>
      </c>
      <c r="AE96" s="13">
        <v>44.374</v>
      </c>
      <c r="AF96" s="49">
        <v>1030.432</v>
      </c>
      <c r="AG96" s="49">
        <v>0</v>
      </c>
      <c r="AH96" s="49">
        <v>1311.179</v>
      </c>
      <c r="AI96" s="49">
        <v>120.984</v>
      </c>
      <c r="AJ96" s="49">
        <v>2365.38</v>
      </c>
      <c r="AK96" s="49">
        <v>2615</v>
      </c>
      <c r="AL96" s="49">
        <v>32.804</v>
      </c>
      <c r="AM96" s="14">
        <f t="shared" si="11"/>
        <v>16840.837</v>
      </c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8"/>
      <c r="ED96" s="18"/>
      <c r="EE96" s="18"/>
      <c r="EF96" s="18"/>
      <c r="EG96" s="18"/>
      <c r="EH96" s="18"/>
      <c r="EI96" s="18"/>
      <c r="EJ96" s="18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</row>
    <row r="97" spans="1:159" s="19" customFormat="1" ht="15">
      <c r="A97" s="22">
        <v>34089</v>
      </c>
      <c r="B97" s="49">
        <f t="shared" si="6"/>
        <v>965.7470000000001</v>
      </c>
      <c r="C97" s="13">
        <f>(104431+56090+181352+102193+133918+65529+192702)/1000</f>
        <v>836.215</v>
      </c>
      <c r="D97" s="13">
        <f>(64313+51552)/1000</f>
        <v>115.865</v>
      </c>
      <c r="E97" s="13">
        <v>13.667</v>
      </c>
      <c r="F97" s="49">
        <v>130.524</v>
      </c>
      <c r="G97" s="49">
        <f t="shared" si="7"/>
        <v>2191.336</v>
      </c>
      <c r="H97" s="13">
        <v>97.857</v>
      </c>
      <c r="I97" s="13">
        <f>(443536+9296)/1000</f>
        <v>452.832</v>
      </c>
      <c r="J97" s="13">
        <v>102.23</v>
      </c>
      <c r="K97" s="13">
        <v>237.435</v>
      </c>
      <c r="L97" s="13">
        <v>135.943</v>
      </c>
      <c r="M97" s="13">
        <v>106.771</v>
      </c>
      <c r="N97" s="13">
        <v>99.365</v>
      </c>
      <c r="O97" s="13">
        <v>136.225</v>
      </c>
      <c r="P97" s="13">
        <v>822.678</v>
      </c>
      <c r="Q97" s="49">
        <f t="shared" si="8"/>
        <v>2765.8109999999997</v>
      </c>
      <c r="R97" s="13">
        <v>2146.83</v>
      </c>
      <c r="S97" s="13">
        <v>354.933</v>
      </c>
      <c r="T97" s="13">
        <v>264.048</v>
      </c>
      <c r="U97" s="49">
        <v>272.088</v>
      </c>
      <c r="V97" s="49">
        <f t="shared" si="9"/>
        <v>1416.849</v>
      </c>
      <c r="W97" s="13">
        <v>1313.051</v>
      </c>
      <c r="X97" s="13">
        <v>63.509</v>
      </c>
      <c r="Y97" s="13">
        <v>40.289</v>
      </c>
      <c r="Z97" s="49">
        <v>93.33</v>
      </c>
      <c r="AA97" s="49">
        <f t="shared" si="10"/>
        <v>1552.2610000000002</v>
      </c>
      <c r="AB97" s="13">
        <v>1196.976</v>
      </c>
      <c r="AC97" s="13">
        <v>0.127</v>
      </c>
      <c r="AD97" s="13">
        <v>302.891</v>
      </c>
      <c r="AE97" s="13">
        <v>52.267</v>
      </c>
      <c r="AF97" s="49">
        <v>1013.372</v>
      </c>
      <c r="AG97" s="49">
        <v>0</v>
      </c>
      <c r="AH97" s="49">
        <v>1395.494</v>
      </c>
      <c r="AI97" s="49">
        <v>135.119</v>
      </c>
      <c r="AJ97" s="49">
        <v>2465.439</v>
      </c>
      <c r="AK97" s="49">
        <v>2632.529</v>
      </c>
      <c r="AL97" s="49">
        <v>67.702</v>
      </c>
      <c r="AM97" s="14">
        <f t="shared" si="11"/>
        <v>17097.601000000002</v>
      </c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8"/>
      <c r="ED97" s="18"/>
      <c r="EE97" s="18"/>
      <c r="EF97" s="18"/>
      <c r="EG97" s="18"/>
      <c r="EH97" s="18"/>
      <c r="EI97" s="18"/>
      <c r="EJ97" s="18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</row>
    <row r="98" spans="1:159" s="19" customFormat="1" ht="15">
      <c r="A98" s="22">
        <v>34120</v>
      </c>
      <c r="B98" s="49">
        <f t="shared" si="6"/>
        <v>1205.484</v>
      </c>
      <c r="C98" s="13">
        <f>(113608+70451+189186+110650+137806+63606+387301)/1000</f>
        <v>1072.608</v>
      </c>
      <c r="D98" s="13">
        <f>(73466+44581)/1000</f>
        <v>118.047</v>
      </c>
      <c r="E98" s="13">
        <v>14.829</v>
      </c>
      <c r="F98" s="49">
        <v>146.626</v>
      </c>
      <c r="G98" s="49">
        <f t="shared" si="7"/>
        <v>2224.4370000000004</v>
      </c>
      <c r="H98" s="13">
        <v>102.004</v>
      </c>
      <c r="I98" s="13">
        <f>(479077+7495)/1000</f>
        <v>486.572</v>
      </c>
      <c r="J98" s="13">
        <v>133.688</v>
      </c>
      <c r="K98" s="13">
        <v>237.166</v>
      </c>
      <c r="L98" s="13">
        <v>138.612</v>
      </c>
      <c r="M98" s="13">
        <v>101.173</v>
      </c>
      <c r="N98" s="13">
        <v>124.738</v>
      </c>
      <c r="O98" s="13">
        <v>132.672</v>
      </c>
      <c r="P98" s="13">
        <v>767.812</v>
      </c>
      <c r="Q98" s="49">
        <f t="shared" si="8"/>
        <v>2680.199</v>
      </c>
      <c r="R98" s="13">
        <v>2069.463</v>
      </c>
      <c r="S98" s="13">
        <v>348.85</v>
      </c>
      <c r="T98" s="13">
        <v>261.886</v>
      </c>
      <c r="U98" s="49">
        <v>292.802</v>
      </c>
      <c r="V98" s="49">
        <f t="shared" si="9"/>
        <v>1489.507</v>
      </c>
      <c r="W98" s="13">
        <v>1352.9</v>
      </c>
      <c r="X98" s="13">
        <v>57.356</v>
      </c>
      <c r="Y98" s="13">
        <v>79.251</v>
      </c>
      <c r="Z98" s="49">
        <v>53.089</v>
      </c>
      <c r="AA98" s="49">
        <f t="shared" si="10"/>
        <v>1529.6960000000001</v>
      </c>
      <c r="AB98" s="13">
        <v>1187.803</v>
      </c>
      <c r="AC98" s="13">
        <v>0.152</v>
      </c>
      <c r="AD98" s="13">
        <v>285.442</v>
      </c>
      <c r="AE98" s="13">
        <v>56.299</v>
      </c>
      <c r="AF98" s="49">
        <v>1066.422</v>
      </c>
      <c r="AG98" s="49">
        <v>0</v>
      </c>
      <c r="AH98" s="49">
        <v>1465.269</v>
      </c>
      <c r="AI98" s="49">
        <v>133.755</v>
      </c>
      <c r="AJ98" s="49">
        <v>2403.304</v>
      </c>
      <c r="AK98" s="49">
        <v>2752.683</v>
      </c>
      <c r="AL98" s="49">
        <v>89.62</v>
      </c>
      <c r="AM98" s="14">
        <f t="shared" si="11"/>
        <v>17532.893</v>
      </c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8"/>
      <c r="ED98" s="18"/>
      <c r="EE98" s="18"/>
      <c r="EF98" s="18"/>
      <c r="EG98" s="18"/>
      <c r="EH98" s="18"/>
      <c r="EI98" s="18"/>
      <c r="EJ98" s="18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</row>
    <row r="99" spans="1:159" s="19" customFormat="1" ht="15">
      <c r="A99" s="22">
        <v>34150</v>
      </c>
      <c r="B99" s="49">
        <f t="shared" si="6"/>
        <v>1034.0169999999998</v>
      </c>
      <c r="C99" s="13">
        <f>(126097+79710+66561+98253+151700+58991+305464)/1000</f>
        <v>886.776</v>
      </c>
      <c r="D99" s="13">
        <f>(78135+56549)/1000</f>
        <v>134.684</v>
      </c>
      <c r="E99" s="13">
        <v>12.557</v>
      </c>
      <c r="F99" s="49">
        <v>123.121</v>
      </c>
      <c r="G99" s="49">
        <f t="shared" si="7"/>
        <v>2308.402</v>
      </c>
      <c r="H99" s="13">
        <v>115.918</v>
      </c>
      <c r="I99" s="13">
        <f>(481822+7103)/1000</f>
        <v>488.925</v>
      </c>
      <c r="J99" s="13">
        <v>135.043</v>
      </c>
      <c r="K99" s="13">
        <v>246.062</v>
      </c>
      <c r="L99" s="13">
        <v>132.538</v>
      </c>
      <c r="M99" s="13">
        <v>89.166</v>
      </c>
      <c r="N99" s="13">
        <v>148.577</v>
      </c>
      <c r="O99" s="13">
        <v>135.083</v>
      </c>
      <c r="P99" s="13">
        <v>817.09</v>
      </c>
      <c r="Q99" s="49">
        <f t="shared" si="8"/>
        <v>2761.905</v>
      </c>
      <c r="R99" s="13">
        <v>2143.45</v>
      </c>
      <c r="S99" s="13">
        <v>358.845</v>
      </c>
      <c r="T99" s="13">
        <v>259.61</v>
      </c>
      <c r="U99" s="49">
        <v>579.34</v>
      </c>
      <c r="V99" s="49">
        <f t="shared" si="9"/>
        <v>1594.797</v>
      </c>
      <c r="W99" s="13">
        <v>1392.855</v>
      </c>
      <c r="X99" s="13">
        <v>70.691</v>
      </c>
      <c r="Y99" s="13">
        <v>131.251</v>
      </c>
      <c r="Z99" s="49">
        <v>61.487</v>
      </c>
      <c r="AA99" s="49">
        <f t="shared" si="10"/>
        <v>1555.579</v>
      </c>
      <c r="AB99" s="13">
        <v>1190.155</v>
      </c>
      <c r="AC99" s="13">
        <v>0.26</v>
      </c>
      <c r="AD99" s="13">
        <v>257.315</v>
      </c>
      <c r="AE99" s="13">
        <v>107.849</v>
      </c>
      <c r="AF99" s="49">
        <v>1067.652</v>
      </c>
      <c r="AG99" s="49">
        <v>0</v>
      </c>
      <c r="AH99" s="49">
        <v>1394.327</v>
      </c>
      <c r="AI99" s="49">
        <v>137.658</v>
      </c>
      <c r="AJ99" s="49">
        <v>3171.119</v>
      </c>
      <c r="AK99" s="49">
        <v>2880.395</v>
      </c>
      <c r="AL99" s="49">
        <v>114.682</v>
      </c>
      <c r="AM99" s="14">
        <f t="shared" si="11"/>
        <v>18784.481</v>
      </c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8"/>
      <c r="ED99" s="18"/>
      <c r="EE99" s="18"/>
      <c r="EF99" s="18"/>
      <c r="EG99" s="18"/>
      <c r="EH99" s="18"/>
      <c r="EI99" s="18"/>
      <c r="EJ99" s="18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</row>
    <row r="100" spans="1:159" s="19" customFormat="1" ht="15">
      <c r="A100" s="22">
        <v>34181</v>
      </c>
      <c r="B100" s="49">
        <f t="shared" si="6"/>
        <v>995.74</v>
      </c>
      <c r="C100" s="13">
        <f>(93963+51254+89995+102201+149549+67114+320212)/1000</f>
        <v>874.288</v>
      </c>
      <c r="D100" s="13">
        <f>(66472+41073)/1000</f>
        <v>107.545</v>
      </c>
      <c r="E100" s="13">
        <v>13.907</v>
      </c>
      <c r="F100" s="49">
        <v>118.288</v>
      </c>
      <c r="G100" s="49">
        <f t="shared" si="7"/>
        <v>2446.765</v>
      </c>
      <c r="H100" s="13">
        <v>172.468</v>
      </c>
      <c r="I100" s="13">
        <f>(440751+7655)/1000</f>
        <v>448.406</v>
      </c>
      <c r="J100" s="13">
        <v>147.447</v>
      </c>
      <c r="K100" s="13">
        <v>243.873</v>
      </c>
      <c r="L100" s="13">
        <v>142.834</v>
      </c>
      <c r="M100" s="13">
        <v>91.446</v>
      </c>
      <c r="N100" s="13">
        <v>118.339</v>
      </c>
      <c r="O100" s="13">
        <v>139.626</v>
      </c>
      <c r="P100" s="13">
        <v>942.326</v>
      </c>
      <c r="Q100" s="49">
        <f t="shared" si="8"/>
        <v>2963.0490000000004</v>
      </c>
      <c r="R100" s="13">
        <v>2335.94</v>
      </c>
      <c r="S100" s="13">
        <v>354.367</v>
      </c>
      <c r="T100" s="13">
        <v>272.742</v>
      </c>
      <c r="U100" s="49">
        <v>540.824</v>
      </c>
      <c r="V100" s="49">
        <f t="shared" si="9"/>
        <v>1717.293</v>
      </c>
      <c r="W100" s="13">
        <v>1557.153</v>
      </c>
      <c r="X100" s="13">
        <v>83.916</v>
      </c>
      <c r="Y100" s="13">
        <v>76.224</v>
      </c>
      <c r="Z100" s="49">
        <v>91.467</v>
      </c>
      <c r="AA100" s="49">
        <f t="shared" si="10"/>
        <v>1558.161</v>
      </c>
      <c r="AB100" s="13">
        <v>1158.203</v>
      </c>
      <c r="AC100" s="13">
        <v>0.127</v>
      </c>
      <c r="AD100" s="13">
        <v>297.833</v>
      </c>
      <c r="AE100" s="13">
        <v>101.998</v>
      </c>
      <c r="AF100" s="49">
        <v>1216.749</v>
      </c>
      <c r="AG100" s="49">
        <v>0</v>
      </c>
      <c r="AH100" s="49">
        <v>1496.633</v>
      </c>
      <c r="AI100" s="49">
        <v>140.639</v>
      </c>
      <c r="AJ100" s="49">
        <v>2942.28</v>
      </c>
      <c r="AK100" s="49">
        <v>3221.912</v>
      </c>
      <c r="AL100" s="49">
        <v>127.575</v>
      </c>
      <c r="AM100" s="14">
        <f t="shared" si="11"/>
        <v>19577.375</v>
      </c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8"/>
      <c r="ED100" s="18"/>
      <c r="EE100" s="18"/>
      <c r="EF100" s="18"/>
      <c r="EG100" s="18"/>
      <c r="EH100" s="18"/>
      <c r="EI100" s="18"/>
      <c r="EJ100" s="18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</row>
    <row r="101" spans="1:159" s="19" customFormat="1" ht="15">
      <c r="A101" s="22">
        <v>34212</v>
      </c>
      <c r="B101" s="49">
        <f t="shared" si="6"/>
        <v>1110.023</v>
      </c>
      <c r="C101" s="13">
        <f>(80134+89718+87835+104743+152762+66427+327825)/1000</f>
        <v>909.444</v>
      </c>
      <c r="D101" s="13">
        <f>(71220+116778)/1000</f>
        <v>187.998</v>
      </c>
      <c r="E101" s="13">
        <v>12.581</v>
      </c>
      <c r="F101" s="49">
        <v>111.486</v>
      </c>
      <c r="G101" s="49">
        <f t="shared" si="7"/>
        <v>2546.4570000000003</v>
      </c>
      <c r="H101" s="13">
        <v>186.527</v>
      </c>
      <c r="I101" s="13">
        <f>(480108+7179)/1000</f>
        <v>487.287</v>
      </c>
      <c r="J101" s="13">
        <v>172.441</v>
      </c>
      <c r="K101" s="13">
        <v>231.436</v>
      </c>
      <c r="L101" s="13">
        <v>142.708</v>
      </c>
      <c r="M101" s="13">
        <v>87.68</v>
      </c>
      <c r="N101" s="13">
        <v>129.78</v>
      </c>
      <c r="O101" s="13">
        <v>145.074</v>
      </c>
      <c r="P101" s="13">
        <v>963.524</v>
      </c>
      <c r="Q101" s="49">
        <f t="shared" si="8"/>
        <v>2911.62</v>
      </c>
      <c r="R101" s="13">
        <v>2393.269</v>
      </c>
      <c r="S101" s="13">
        <v>308.23</v>
      </c>
      <c r="T101" s="13">
        <v>210.121</v>
      </c>
      <c r="U101" s="49">
        <v>517.117</v>
      </c>
      <c r="V101" s="49">
        <f t="shared" si="9"/>
        <v>1734.25</v>
      </c>
      <c r="W101" s="13">
        <v>1590.839</v>
      </c>
      <c r="X101" s="13">
        <v>82.602</v>
      </c>
      <c r="Y101" s="13">
        <v>60.809</v>
      </c>
      <c r="Z101" s="49">
        <v>110.752</v>
      </c>
      <c r="AA101" s="49">
        <f t="shared" si="10"/>
        <v>1543.764</v>
      </c>
      <c r="AB101" s="13">
        <v>1165.862</v>
      </c>
      <c r="AC101" s="13">
        <v>0.137</v>
      </c>
      <c r="AD101" s="13">
        <v>272.255</v>
      </c>
      <c r="AE101" s="13">
        <v>105.51</v>
      </c>
      <c r="AF101" s="49">
        <v>1285.911</v>
      </c>
      <c r="AG101" s="49">
        <v>0</v>
      </c>
      <c r="AH101" s="49">
        <v>1486.121</v>
      </c>
      <c r="AI101" s="49">
        <v>174.803</v>
      </c>
      <c r="AJ101" s="49">
        <v>2788.092</v>
      </c>
      <c r="AK101" s="49">
        <v>3333.668</v>
      </c>
      <c r="AL101" s="49">
        <v>144.748</v>
      </c>
      <c r="AM101" s="14">
        <f t="shared" si="11"/>
        <v>19798.812</v>
      </c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8"/>
      <c r="ED101" s="18"/>
      <c r="EE101" s="18"/>
      <c r="EF101" s="18"/>
      <c r="EG101" s="18"/>
      <c r="EH101" s="18"/>
      <c r="EI101" s="18"/>
      <c r="EJ101" s="18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</row>
    <row r="102" spans="1:159" s="19" customFormat="1" ht="15">
      <c r="A102" s="22">
        <v>34242</v>
      </c>
      <c r="B102" s="49">
        <f t="shared" si="6"/>
        <v>1193.007</v>
      </c>
      <c r="C102" s="13">
        <f>(92584+115672+100862+122267+158587+69245+315611)/1000</f>
        <v>974.828</v>
      </c>
      <c r="D102" s="13">
        <f>(89435+117515)/1000</f>
        <v>206.95</v>
      </c>
      <c r="E102" s="13">
        <v>11.229</v>
      </c>
      <c r="F102" s="49">
        <v>118.158</v>
      </c>
      <c r="G102" s="49">
        <f t="shared" si="7"/>
        <v>2876.7919999999995</v>
      </c>
      <c r="H102" s="13">
        <v>214.821</v>
      </c>
      <c r="I102" s="13">
        <f>(608607+18497)/1000</f>
        <v>627.104</v>
      </c>
      <c r="J102" s="13">
        <v>177.391</v>
      </c>
      <c r="K102" s="13">
        <v>238.145</v>
      </c>
      <c r="L102" s="13">
        <v>150.195</v>
      </c>
      <c r="M102" s="13">
        <v>133.254</v>
      </c>
      <c r="N102" s="13">
        <v>155.205</v>
      </c>
      <c r="O102" s="13">
        <v>158.111</v>
      </c>
      <c r="P102" s="13">
        <v>1022.566</v>
      </c>
      <c r="Q102" s="49">
        <f t="shared" si="8"/>
        <v>3502.378</v>
      </c>
      <c r="R102" s="13">
        <v>2899.561</v>
      </c>
      <c r="S102" s="13">
        <v>360.507</v>
      </c>
      <c r="T102" s="13">
        <v>242.31</v>
      </c>
      <c r="U102" s="49">
        <v>543.906</v>
      </c>
      <c r="V102" s="49">
        <f t="shared" si="9"/>
        <v>1884.783</v>
      </c>
      <c r="W102" s="13">
        <v>1734.047</v>
      </c>
      <c r="X102" s="13">
        <v>65.187</v>
      </c>
      <c r="Y102" s="13">
        <v>85.549</v>
      </c>
      <c r="Z102" s="49">
        <v>97.334</v>
      </c>
      <c r="AA102" s="49">
        <f t="shared" si="10"/>
        <v>1596.504</v>
      </c>
      <c r="AB102" s="13">
        <v>1199.156</v>
      </c>
      <c r="AC102" s="13">
        <v>0.146</v>
      </c>
      <c r="AD102" s="13">
        <v>290.979</v>
      </c>
      <c r="AE102" s="13">
        <v>106.223</v>
      </c>
      <c r="AF102" s="49">
        <v>1454.692</v>
      </c>
      <c r="AG102" s="49">
        <v>0</v>
      </c>
      <c r="AH102" s="49">
        <v>1628.687</v>
      </c>
      <c r="AI102" s="49">
        <v>135.574</v>
      </c>
      <c r="AJ102" s="49">
        <v>2905.482</v>
      </c>
      <c r="AK102" s="49">
        <v>3571.112</v>
      </c>
      <c r="AL102" s="49">
        <v>52.688</v>
      </c>
      <c r="AM102" s="14">
        <f t="shared" si="11"/>
        <v>21561.096999999998</v>
      </c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8"/>
      <c r="ED102" s="18"/>
      <c r="EE102" s="18"/>
      <c r="EF102" s="18"/>
      <c r="EG102" s="18"/>
      <c r="EH102" s="18"/>
      <c r="EI102" s="18"/>
      <c r="EJ102" s="18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</row>
    <row r="103" spans="1:159" s="19" customFormat="1" ht="15">
      <c r="A103" s="22">
        <v>34273</v>
      </c>
      <c r="B103" s="49">
        <f t="shared" si="6"/>
        <v>1343.3919999999998</v>
      </c>
      <c r="C103" s="13">
        <f>(100267+113395+105102+118021+168649+73865+431012)/1000</f>
        <v>1110.311</v>
      </c>
      <c r="D103" s="13">
        <f>(101445+120711)/1000</f>
        <v>222.156</v>
      </c>
      <c r="E103" s="13">
        <v>10.925</v>
      </c>
      <c r="F103" s="49">
        <v>121.014</v>
      </c>
      <c r="G103" s="49">
        <f t="shared" si="7"/>
        <v>2969.157</v>
      </c>
      <c r="H103" s="13">
        <v>207.647</v>
      </c>
      <c r="I103" s="13">
        <f>(694419+16810)/1000</f>
        <v>711.229</v>
      </c>
      <c r="J103" s="13">
        <v>179.991</v>
      </c>
      <c r="K103" s="13">
        <v>232.975</v>
      </c>
      <c r="L103" s="13">
        <v>197.635</v>
      </c>
      <c r="M103" s="13">
        <v>127.19</v>
      </c>
      <c r="N103" s="13">
        <v>135.016</v>
      </c>
      <c r="O103" s="13">
        <v>173.685</v>
      </c>
      <c r="P103" s="13">
        <v>1003.789</v>
      </c>
      <c r="Q103" s="49">
        <f t="shared" si="8"/>
        <v>3095.65</v>
      </c>
      <c r="R103" s="13">
        <v>2452.241</v>
      </c>
      <c r="S103" s="13">
        <v>383.013</v>
      </c>
      <c r="T103" s="13">
        <v>260.396</v>
      </c>
      <c r="U103" s="49">
        <v>495.287</v>
      </c>
      <c r="V103" s="49">
        <f t="shared" si="9"/>
        <v>1910.813</v>
      </c>
      <c r="W103" s="13">
        <v>1749.326</v>
      </c>
      <c r="X103" s="13">
        <v>81.701</v>
      </c>
      <c r="Y103" s="13">
        <v>79.786</v>
      </c>
      <c r="Z103" s="49">
        <v>142.201</v>
      </c>
      <c r="AA103" s="49">
        <f t="shared" si="10"/>
        <v>1312.1070000000002</v>
      </c>
      <c r="AB103" s="13">
        <v>730.34</v>
      </c>
      <c r="AC103" s="13">
        <v>0.243</v>
      </c>
      <c r="AD103" s="13">
        <v>474.855</v>
      </c>
      <c r="AE103" s="13">
        <v>106.669</v>
      </c>
      <c r="AF103" s="49">
        <v>1538.464</v>
      </c>
      <c r="AG103" s="49">
        <v>0</v>
      </c>
      <c r="AH103" s="49">
        <v>1627.868</v>
      </c>
      <c r="AI103" s="49">
        <v>184.128</v>
      </c>
      <c r="AJ103" s="49">
        <v>3181.409</v>
      </c>
      <c r="AK103" s="49">
        <v>3720.513</v>
      </c>
      <c r="AL103" s="49">
        <v>72.163</v>
      </c>
      <c r="AM103" s="14">
        <f t="shared" si="11"/>
        <v>21714.166</v>
      </c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8"/>
      <c r="ED103" s="18"/>
      <c r="EE103" s="18"/>
      <c r="EF103" s="18"/>
      <c r="EG103" s="18"/>
      <c r="EH103" s="18"/>
      <c r="EI103" s="18"/>
      <c r="EJ103" s="18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</row>
    <row r="104" spans="1:159" s="19" customFormat="1" ht="15">
      <c r="A104" s="22">
        <v>34303</v>
      </c>
      <c r="B104" s="49">
        <f t="shared" si="6"/>
        <v>1330.8780000000002</v>
      </c>
      <c r="C104" s="13">
        <f>(111158+118209+116007+113040+188099+74625+369668)/1000</f>
        <v>1090.806</v>
      </c>
      <c r="D104" s="13">
        <f>(107236+120501)/1000</f>
        <v>227.737</v>
      </c>
      <c r="E104" s="13">
        <v>12.335</v>
      </c>
      <c r="F104" s="49">
        <v>116.495</v>
      </c>
      <c r="G104" s="49">
        <f t="shared" si="7"/>
        <v>3178.978</v>
      </c>
      <c r="H104" s="13">
        <v>257.979</v>
      </c>
      <c r="I104" s="13">
        <f>(699451+18646)/1000</f>
        <v>718.097</v>
      </c>
      <c r="J104" s="13">
        <v>194.991</v>
      </c>
      <c r="K104" s="13">
        <v>248.085</v>
      </c>
      <c r="L104" s="13">
        <v>202.172</v>
      </c>
      <c r="M104" s="13">
        <v>153.459</v>
      </c>
      <c r="N104" s="13">
        <v>143.363</v>
      </c>
      <c r="O104" s="13">
        <v>157.788</v>
      </c>
      <c r="P104" s="13">
        <v>1103.044</v>
      </c>
      <c r="Q104" s="49">
        <f t="shared" si="8"/>
        <v>2944.8720000000003</v>
      </c>
      <c r="R104" s="13">
        <v>2320.318</v>
      </c>
      <c r="S104" s="13">
        <v>358.713</v>
      </c>
      <c r="T104" s="13">
        <v>265.841</v>
      </c>
      <c r="U104" s="49">
        <v>733.203</v>
      </c>
      <c r="V104" s="49">
        <f t="shared" si="9"/>
        <v>1999.948</v>
      </c>
      <c r="W104" s="13">
        <v>1795.799</v>
      </c>
      <c r="X104" s="13">
        <v>109.806</v>
      </c>
      <c r="Y104" s="13">
        <v>94.343</v>
      </c>
      <c r="Z104" s="49">
        <v>135.72</v>
      </c>
      <c r="AA104" s="49">
        <f t="shared" si="10"/>
        <v>1212.786</v>
      </c>
      <c r="AB104" s="13">
        <v>582.428</v>
      </c>
      <c r="AC104" s="13">
        <v>0</v>
      </c>
      <c r="AD104" s="13">
        <v>528.586</v>
      </c>
      <c r="AE104" s="13">
        <v>101.772</v>
      </c>
      <c r="AF104" s="49">
        <v>1659.781</v>
      </c>
      <c r="AG104" s="49">
        <v>0</v>
      </c>
      <c r="AH104" s="49">
        <v>1778.162</v>
      </c>
      <c r="AI104" s="49">
        <v>175.095</v>
      </c>
      <c r="AJ104" s="49">
        <v>3286.662</v>
      </c>
      <c r="AK104" s="49">
        <v>3916.08</v>
      </c>
      <c r="AL104" s="49">
        <v>86.34</v>
      </c>
      <c r="AM104" s="14">
        <f t="shared" si="11"/>
        <v>22554.999999999996</v>
      </c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8"/>
      <c r="ED104" s="18"/>
      <c r="EE104" s="18"/>
      <c r="EF104" s="18"/>
      <c r="EG104" s="18"/>
      <c r="EH104" s="18"/>
      <c r="EI104" s="18"/>
      <c r="EJ104" s="18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</row>
    <row r="105" spans="1:159" s="19" customFormat="1" ht="15">
      <c r="A105" s="22">
        <v>34334</v>
      </c>
      <c r="B105" s="49">
        <f t="shared" si="6"/>
        <v>1416.6760000000002</v>
      </c>
      <c r="C105" s="13">
        <f>(135444+133364+153548+118879+205545+75631+378085)/1000</f>
        <v>1200.496</v>
      </c>
      <c r="D105" s="13">
        <f>(143183+61932)/1000</f>
        <v>205.115</v>
      </c>
      <c r="E105" s="13">
        <v>11.065</v>
      </c>
      <c r="F105" s="49">
        <v>118.114</v>
      </c>
      <c r="G105" s="49">
        <f t="shared" si="7"/>
        <v>3027.035</v>
      </c>
      <c r="H105" s="13">
        <v>289.168</v>
      </c>
      <c r="I105" s="13">
        <f>(672996+34328)/1000</f>
        <v>707.324</v>
      </c>
      <c r="J105" s="13">
        <v>213.272</v>
      </c>
      <c r="K105" s="13">
        <v>225.585</v>
      </c>
      <c r="L105" s="13">
        <v>173.839</v>
      </c>
      <c r="M105" s="13">
        <v>154.727</v>
      </c>
      <c r="N105" s="13">
        <v>139.913</v>
      </c>
      <c r="O105" s="13">
        <v>250.581</v>
      </c>
      <c r="P105" s="13">
        <v>872.626</v>
      </c>
      <c r="Q105" s="49">
        <f t="shared" si="8"/>
        <v>3321.0620000000004</v>
      </c>
      <c r="R105" s="13">
        <v>2690.981</v>
      </c>
      <c r="S105" s="13">
        <v>383.489</v>
      </c>
      <c r="T105" s="13">
        <v>246.592</v>
      </c>
      <c r="U105" s="49">
        <v>784.616</v>
      </c>
      <c r="V105" s="49">
        <f t="shared" si="9"/>
        <v>2163.632</v>
      </c>
      <c r="W105" s="13">
        <v>1981.528</v>
      </c>
      <c r="X105" s="13">
        <v>66.56</v>
      </c>
      <c r="Y105" s="13">
        <v>115.544</v>
      </c>
      <c r="Z105" s="49">
        <v>155.558</v>
      </c>
      <c r="AA105" s="49">
        <f t="shared" si="10"/>
        <v>1299.414</v>
      </c>
      <c r="AB105" s="13">
        <v>569.305</v>
      </c>
      <c r="AC105" s="13">
        <v>0.178</v>
      </c>
      <c r="AD105" s="13">
        <v>537.524</v>
      </c>
      <c r="AE105" s="13">
        <v>192.407</v>
      </c>
      <c r="AF105" s="49">
        <v>1667.178</v>
      </c>
      <c r="AG105" s="49">
        <v>0</v>
      </c>
      <c r="AH105" s="49">
        <v>2000.056</v>
      </c>
      <c r="AI105" s="49">
        <v>147.517</v>
      </c>
      <c r="AJ105" s="49">
        <v>3460.322</v>
      </c>
      <c r="AK105" s="49">
        <v>3973.219</v>
      </c>
      <c r="AL105" s="49">
        <v>80.349</v>
      </c>
      <c r="AM105" s="14">
        <f t="shared" si="11"/>
        <v>23614.748</v>
      </c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8"/>
      <c r="ED105" s="18"/>
      <c r="EE105" s="18"/>
      <c r="EF105" s="18"/>
      <c r="EG105" s="18"/>
      <c r="EH105" s="18"/>
      <c r="EI105" s="18"/>
      <c r="EJ105" s="18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</row>
    <row r="106" spans="1:159" s="19" customFormat="1" ht="15">
      <c r="A106" s="22">
        <v>34365</v>
      </c>
      <c r="B106" s="49">
        <f t="shared" si="6"/>
        <v>1469.0959999999998</v>
      </c>
      <c r="C106" s="13">
        <f>(138249+209161+164615+121102+154606+104127+366701)/1000</f>
        <v>1258.561</v>
      </c>
      <c r="D106" s="13">
        <f>(149334+49891)/1000</f>
        <v>199.225</v>
      </c>
      <c r="E106" s="13">
        <v>11.31</v>
      </c>
      <c r="F106" s="49">
        <v>138.792</v>
      </c>
      <c r="G106" s="49">
        <f t="shared" si="7"/>
        <v>2902.432</v>
      </c>
      <c r="H106" s="13">
        <v>324.021</v>
      </c>
      <c r="I106" s="13">
        <f>(593341+39208)/1000</f>
        <v>632.549</v>
      </c>
      <c r="J106" s="13">
        <v>192.481</v>
      </c>
      <c r="K106" s="13">
        <v>265.719</v>
      </c>
      <c r="L106" s="13">
        <v>156.232</v>
      </c>
      <c r="M106" s="13">
        <v>161.698</v>
      </c>
      <c r="N106" s="13">
        <v>156.398</v>
      </c>
      <c r="O106" s="13">
        <v>269.748</v>
      </c>
      <c r="P106" s="13">
        <v>743.586</v>
      </c>
      <c r="Q106" s="49">
        <f t="shared" si="8"/>
        <v>3237.781</v>
      </c>
      <c r="R106" s="13">
        <v>2626.638</v>
      </c>
      <c r="S106" s="13">
        <v>349.726</v>
      </c>
      <c r="T106" s="13">
        <v>261.417</v>
      </c>
      <c r="U106" s="49">
        <v>707.274</v>
      </c>
      <c r="V106" s="49">
        <f t="shared" si="9"/>
        <v>2336.8459999999995</v>
      </c>
      <c r="W106" s="13">
        <v>2093.642</v>
      </c>
      <c r="X106" s="13">
        <v>142.66</v>
      </c>
      <c r="Y106" s="13">
        <v>100.544</v>
      </c>
      <c r="Z106" s="49">
        <v>164.891</v>
      </c>
      <c r="AA106" s="49">
        <f t="shared" si="10"/>
        <v>1201.9370000000001</v>
      </c>
      <c r="AB106" s="13">
        <v>539.344</v>
      </c>
      <c r="AC106" s="13">
        <v>0.277</v>
      </c>
      <c r="AD106" s="13">
        <v>491.443</v>
      </c>
      <c r="AE106" s="13">
        <v>170.873</v>
      </c>
      <c r="AF106" s="49">
        <v>1715.018</v>
      </c>
      <c r="AG106" s="49">
        <v>0</v>
      </c>
      <c r="AH106" s="49">
        <v>2028.035</v>
      </c>
      <c r="AI106" s="49">
        <v>151.025</v>
      </c>
      <c r="AJ106" s="49">
        <v>3619.289</v>
      </c>
      <c r="AK106" s="49">
        <v>4074.719</v>
      </c>
      <c r="AL106" s="49">
        <v>103.507</v>
      </c>
      <c r="AM106" s="14">
        <f t="shared" si="11"/>
        <v>23850.642</v>
      </c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8"/>
      <c r="ED106" s="18"/>
      <c r="EE106" s="18"/>
      <c r="EF106" s="18"/>
      <c r="EG106" s="18"/>
      <c r="EH106" s="18"/>
      <c r="EI106" s="18"/>
      <c r="EJ106" s="18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</row>
    <row r="107" spans="1:159" s="19" customFormat="1" ht="15">
      <c r="A107" s="22">
        <v>34393</v>
      </c>
      <c r="B107" s="49">
        <f t="shared" si="6"/>
        <v>1497.4920000000002</v>
      </c>
      <c r="C107" s="13">
        <f>(132990+206592+175572+125941+196354+71899+387995)/1000</f>
        <v>1297.343</v>
      </c>
      <c r="D107" s="13">
        <f>(138776+51185)/1000</f>
        <v>189.961</v>
      </c>
      <c r="E107" s="13">
        <v>10.188</v>
      </c>
      <c r="F107" s="49">
        <v>123.602</v>
      </c>
      <c r="G107" s="49">
        <f t="shared" si="7"/>
        <v>3084.232</v>
      </c>
      <c r="H107" s="13">
        <v>399.095</v>
      </c>
      <c r="I107" s="13">
        <f>(550413+32478)/1000</f>
        <v>582.891</v>
      </c>
      <c r="J107" s="13">
        <v>260.154</v>
      </c>
      <c r="K107" s="13">
        <v>308.439</v>
      </c>
      <c r="L107" s="13">
        <v>164.393</v>
      </c>
      <c r="M107" s="13">
        <v>153.348</v>
      </c>
      <c r="N107" s="13">
        <v>151.054</v>
      </c>
      <c r="O107" s="13">
        <v>278.467</v>
      </c>
      <c r="P107" s="13">
        <v>786.391</v>
      </c>
      <c r="Q107" s="49">
        <f t="shared" si="8"/>
        <v>3570.832</v>
      </c>
      <c r="R107" s="13">
        <v>2953.386</v>
      </c>
      <c r="S107" s="13">
        <v>361.519</v>
      </c>
      <c r="T107" s="13">
        <v>255.927</v>
      </c>
      <c r="U107" s="49">
        <v>808.236</v>
      </c>
      <c r="V107" s="49">
        <f t="shared" si="9"/>
        <v>2474.1749999999997</v>
      </c>
      <c r="W107" s="13">
        <v>2274.944</v>
      </c>
      <c r="X107" s="13">
        <v>156.756</v>
      </c>
      <c r="Y107" s="13">
        <v>42.475</v>
      </c>
      <c r="Z107" s="49">
        <v>181.311</v>
      </c>
      <c r="AA107" s="49">
        <f t="shared" si="10"/>
        <v>1332.296</v>
      </c>
      <c r="AB107" s="13">
        <v>544.59</v>
      </c>
      <c r="AC107" s="13">
        <v>0.374</v>
      </c>
      <c r="AD107" s="13">
        <v>587.614</v>
      </c>
      <c r="AE107" s="13">
        <v>199.718</v>
      </c>
      <c r="AF107" s="49">
        <v>1723.166</v>
      </c>
      <c r="AG107" s="49">
        <v>0</v>
      </c>
      <c r="AH107" s="49">
        <v>1990.736</v>
      </c>
      <c r="AI107" s="49">
        <v>153.652</v>
      </c>
      <c r="AJ107" s="49">
        <v>3552.54</v>
      </c>
      <c r="AK107" s="49">
        <v>4078.577</v>
      </c>
      <c r="AL107" s="49">
        <v>86.132</v>
      </c>
      <c r="AM107" s="14">
        <f t="shared" si="11"/>
        <v>24656.979</v>
      </c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8"/>
      <c r="ED107" s="18"/>
      <c r="EE107" s="18"/>
      <c r="EF107" s="18"/>
      <c r="EG107" s="18"/>
      <c r="EH107" s="18"/>
      <c r="EI107" s="18"/>
      <c r="EJ107" s="18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</row>
    <row r="108" spans="1:159" s="19" customFormat="1" ht="15">
      <c r="A108" s="22">
        <v>34424</v>
      </c>
      <c r="B108" s="49">
        <f t="shared" si="6"/>
        <v>1545.068</v>
      </c>
      <c r="C108" s="13">
        <f>(134690+213154+177126+140892+163706+48875+458989)/1000</f>
        <v>1337.432</v>
      </c>
      <c r="D108" s="13">
        <f>(137262+60063)/1000</f>
        <v>197.325</v>
      </c>
      <c r="E108" s="13">
        <v>10.311</v>
      </c>
      <c r="F108" s="49">
        <v>157.356</v>
      </c>
      <c r="G108" s="49">
        <f t="shared" si="7"/>
        <v>3034.0149999999994</v>
      </c>
      <c r="H108" s="13">
        <v>388.174</v>
      </c>
      <c r="I108" s="13">
        <f>(560864+31644)/1000</f>
        <v>592.508</v>
      </c>
      <c r="J108" s="13">
        <v>239.723</v>
      </c>
      <c r="K108" s="13">
        <v>301.13</v>
      </c>
      <c r="L108" s="13">
        <v>173.549</v>
      </c>
      <c r="M108" s="13">
        <v>126.054</v>
      </c>
      <c r="N108" s="13">
        <v>158.945</v>
      </c>
      <c r="O108" s="13">
        <v>299.067</v>
      </c>
      <c r="P108" s="13">
        <v>754.865</v>
      </c>
      <c r="Q108" s="49">
        <f t="shared" si="8"/>
        <v>3719.888</v>
      </c>
      <c r="R108" s="13">
        <v>3020.319</v>
      </c>
      <c r="S108" s="13">
        <v>451.533</v>
      </c>
      <c r="T108" s="13">
        <v>248.036</v>
      </c>
      <c r="U108" s="49">
        <v>1191.027</v>
      </c>
      <c r="V108" s="49">
        <f t="shared" si="9"/>
        <v>2652.725</v>
      </c>
      <c r="W108" s="13">
        <v>2247.519</v>
      </c>
      <c r="X108" s="13">
        <v>128.161</v>
      </c>
      <c r="Y108" s="13">
        <v>277.045</v>
      </c>
      <c r="Z108" s="49">
        <v>207.953</v>
      </c>
      <c r="AA108" s="49">
        <f t="shared" si="10"/>
        <v>1783.732</v>
      </c>
      <c r="AB108" s="13">
        <v>1200.702</v>
      </c>
      <c r="AC108" s="13">
        <v>0.442</v>
      </c>
      <c r="AD108" s="13">
        <v>349.432</v>
      </c>
      <c r="AE108" s="13">
        <v>233.156</v>
      </c>
      <c r="AF108" s="49">
        <v>1637.661</v>
      </c>
      <c r="AG108" s="49">
        <v>0</v>
      </c>
      <c r="AH108" s="49">
        <v>1932.646</v>
      </c>
      <c r="AI108" s="49">
        <v>151.493</v>
      </c>
      <c r="AJ108" s="49">
        <v>3742.951</v>
      </c>
      <c r="AK108" s="49">
        <v>3978.574</v>
      </c>
      <c r="AL108" s="49">
        <v>171.506</v>
      </c>
      <c r="AM108" s="14">
        <f t="shared" si="11"/>
        <v>25906.595</v>
      </c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8"/>
      <c r="ED108" s="18"/>
      <c r="EE108" s="18"/>
      <c r="EF108" s="18"/>
      <c r="EG108" s="18"/>
      <c r="EH108" s="18"/>
      <c r="EI108" s="18"/>
      <c r="EJ108" s="18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</row>
    <row r="109" spans="1:159" s="19" customFormat="1" ht="15">
      <c r="A109" s="22">
        <v>34454</v>
      </c>
      <c r="B109" s="49">
        <f t="shared" si="6"/>
        <v>1562.281</v>
      </c>
      <c r="C109" s="13">
        <f>(180863+203990+132563+190180+208177+53639+427659)/1000</f>
        <v>1397.071</v>
      </c>
      <c r="D109" s="13">
        <f>(92709+60022)/1000</f>
        <v>152.731</v>
      </c>
      <c r="E109" s="13">
        <v>12.479</v>
      </c>
      <c r="F109" s="49">
        <v>132.999</v>
      </c>
      <c r="G109" s="49">
        <f t="shared" si="7"/>
        <v>3145.7110000000002</v>
      </c>
      <c r="H109" s="13">
        <v>415.789</v>
      </c>
      <c r="I109" s="13">
        <f>(522651+40052)/1000</f>
        <v>562.703</v>
      </c>
      <c r="J109" s="13">
        <v>243.043</v>
      </c>
      <c r="K109" s="13">
        <v>262.893</v>
      </c>
      <c r="L109" s="13">
        <v>160.689</v>
      </c>
      <c r="M109" s="13">
        <v>156.288</v>
      </c>
      <c r="N109" s="13">
        <v>144.195</v>
      </c>
      <c r="O109" s="13">
        <v>306.78</v>
      </c>
      <c r="P109" s="13">
        <v>893.331</v>
      </c>
      <c r="Q109" s="49">
        <f t="shared" si="8"/>
        <v>3750.496</v>
      </c>
      <c r="R109" s="13">
        <v>3039.826</v>
      </c>
      <c r="S109" s="13">
        <v>439.036</v>
      </c>
      <c r="T109" s="13">
        <v>271.634</v>
      </c>
      <c r="U109" s="49">
        <v>655.088</v>
      </c>
      <c r="V109" s="49">
        <f t="shared" si="9"/>
        <v>2594.0469999999996</v>
      </c>
      <c r="W109" s="13">
        <v>2405.343</v>
      </c>
      <c r="X109" s="13">
        <v>87.725</v>
      </c>
      <c r="Y109" s="13">
        <v>100.979</v>
      </c>
      <c r="Z109" s="49">
        <v>166.8</v>
      </c>
      <c r="AA109" s="49">
        <f t="shared" si="10"/>
        <v>2048.966</v>
      </c>
      <c r="AB109" s="13">
        <v>1146.222</v>
      </c>
      <c r="AC109" s="13">
        <v>0.475</v>
      </c>
      <c r="AD109" s="13">
        <v>665.881</v>
      </c>
      <c r="AE109" s="13">
        <v>236.388</v>
      </c>
      <c r="AF109" s="49">
        <v>1709.56</v>
      </c>
      <c r="AG109" s="49">
        <v>0</v>
      </c>
      <c r="AH109" s="49">
        <v>1936.74</v>
      </c>
      <c r="AI109" s="49">
        <v>145.864</v>
      </c>
      <c r="AJ109" s="49">
        <v>3969.652</v>
      </c>
      <c r="AK109" s="49">
        <v>4319.34</v>
      </c>
      <c r="AL109" s="49">
        <v>45.213</v>
      </c>
      <c r="AM109" s="14">
        <f t="shared" si="11"/>
        <v>26182.756999999998</v>
      </c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8"/>
      <c r="ED109" s="18"/>
      <c r="EE109" s="18"/>
      <c r="EF109" s="18"/>
      <c r="EG109" s="18"/>
      <c r="EH109" s="18"/>
      <c r="EI109" s="18"/>
      <c r="EJ109" s="18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</row>
    <row r="110" spans="1:159" s="19" customFormat="1" ht="15">
      <c r="A110" s="22">
        <v>34485</v>
      </c>
      <c r="B110" s="49">
        <f t="shared" si="6"/>
        <v>1568.5310000000002</v>
      </c>
      <c r="C110" s="13">
        <f>(183747+68445+143857+280467+242810+49477+422522)/1000</f>
        <v>1391.325</v>
      </c>
      <c r="D110" s="13">
        <f>(89808+73786)/1000</f>
        <v>163.594</v>
      </c>
      <c r="E110" s="13">
        <v>13.612</v>
      </c>
      <c r="F110" s="49">
        <v>128.357</v>
      </c>
      <c r="G110" s="49">
        <f t="shared" si="7"/>
        <v>3091.572</v>
      </c>
      <c r="H110" s="13">
        <v>408.32</v>
      </c>
      <c r="I110" s="13">
        <f>(546126+64742)/1000</f>
        <v>610.868</v>
      </c>
      <c r="J110" s="13">
        <v>250.424</v>
      </c>
      <c r="K110" s="13">
        <v>328.492</v>
      </c>
      <c r="L110" s="13">
        <v>156.459</v>
      </c>
      <c r="M110" s="13">
        <v>122.509</v>
      </c>
      <c r="N110" s="13">
        <v>143.434</v>
      </c>
      <c r="O110" s="13">
        <v>315.428</v>
      </c>
      <c r="P110" s="13">
        <v>755.638</v>
      </c>
      <c r="Q110" s="49">
        <f t="shared" si="8"/>
        <v>3822.4629999999997</v>
      </c>
      <c r="R110" s="13">
        <v>3107.843</v>
      </c>
      <c r="S110" s="13">
        <v>420.585</v>
      </c>
      <c r="T110" s="13">
        <v>294.035</v>
      </c>
      <c r="U110" s="49">
        <v>768.25</v>
      </c>
      <c r="V110" s="49">
        <f t="shared" si="9"/>
        <v>2471.847</v>
      </c>
      <c r="W110" s="13">
        <v>2261.869</v>
      </c>
      <c r="X110" s="13">
        <v>88.446</v>
      </c>
      <c r="Y110" s="13">
        <v>121.532</v>
      </c>
      <c r="Z110" s="49">
        <v>181.556</v>
      </c>
      <c r="AA110" s="49">
        <f t="shared" si="10"/>
        <v>1796.9779999999998</v>
      </c>
      <c r="AB110" s="13">
        <v>1138.884</v>
      </c>
      <c r="AC110" s="13">
        <v>0.561</v>
      </c>
      <c r="AD110" s="13">
        <v>394.838</v>
      </c>
      <c r="AE110" s="13">
        <v>262.695</v>
      </c>
      <c r="AF110" s="49">
        <v>1815.962</v>
      </c>
      <c r="AG110" s="49">
        <v>0</v>
      </c>
      <c r="AH110" s="49">
        <v>2080.785</v>
      </c>
      <c r="AI110" s="49">
        <v>182.165</v>
      </c>
      <c r="AJ110" s="49">
        <v>3759.997</v>
      </c>
      <c r="AK110" s="49">
        <v>4595.843</v>
      </c>
      <c r="AL110" s="49">
        <v>62.273</v>
      </c>
      <c r="AM110" s="14">
        <f t="shared" si="11"/>
        <v>26326.579</v>
      </c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8"/>
      <c r="ED110" s="18"/>
      <c r="EE110" s="18"/>
      <c r="EF110" s="18"/>
      <c r="EG110" s="18"/>
      <c r="EH110" s="18"/>
      <c r="EI110" s="18"/>
      <c r="EJ110" s="18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</row>
    <row r="111" spans="1:159" s="19" customFormat="1" ht="15">
      <c r="A111" s="22">
        <v>34515</v>
      </c>
      <c r="B111" s="49">
        <f t="shared" si="6"/>
        <v>1685.804</v>
      </c>
      <c r="C111" s="13">
        <f>(368348+72165+163811+257689+252351+49820+382548)/1000</f>
        <v>1546.732</v>
      </c>
      <c r="D111" s="13">
        <f>(69872+55088)/1000</f>
        <v>124.96</v>
      </c>
      <c r="E111" s="13">
        <v>14.112</v>
      </c>
      <c r="F111" s="49">
        <v>184.919</v>
      </c>
      <c r="G111" s="49">
        <f t="shared" si="7"/>
        <v>3313.6860000000006</v>
      </c>
      <c r="H111" s="13">
        <v>415.053</v>
      </c>
      <c r="I111" s="13">
        <f>(662203+39950)/1000</f>
        <v>702.153</v>
      </c>
      <c r="J111" s="13">
        <v>278.708</v>
      </c>
      <c r="K111" s="13">
        <v>251.701</v>
      </c>
      <c r="L111" s="13">
        <v>195.793</v>
      </c>
      <c r="M111" s="13">
        <v>108.934</v>
      </c>
      <c r="N111" s="13">
        <v>221.873</v>
      </c>
      <c r="O111" s="13">
        <v>313.001</v>
      </c>
      <c r="P111" s="13">
        <v>826.47</v>
      </c>
      <c r="Q111" s="49">
        <f t="shared" si="8"/>
        <v>4521.693</v>
      </c>
      <c r="R111" s="13">
        <v>3443.711</v>
      </c>
      <c r="S111" s="13">
        <v>786.209</v>
      </c>
      <c r="T111" s="13">
        <v>291.773</v>
      </c>
      <c r="U111" s="49">
        <v>1432.894</v>
      </c>
      <c r="V111" s="49">
        <f t="shared" si="9"/>
        <v>2564.5930000000003</v>
      </c>
      <c r="W111" s="13">
        <v>2287.949</v>
      </c>
      <c r="X111" s="13">
        <v>29.956</v>
      </c>
      <c r="Y111" s="13">
        <v>246.688</v>
      </c>
      <c r="Z111" s="49">
        <v>164.87</v>
      </c>
      <c r="AA111" s="49">
        <f t="shared" si="10"/>
        <v>1862.98</v>
      </c>
      <c r="AB111" s="13">
        <v>1081.261</v>
      </c>
      <c r="AC111" s="13">
        <v>0.874</v>
      </c>
      <c r="AD111" s="13">
        <v>435.423</v>
      </c>
      <c r="AE111" s="13">
        <v>345.422</v>
      </c>
      <c r="AF111" s="49">
        <v>1825.022</v>
      </c>
      <c r="AG111" s="49">
        <v>0</v>
      </c>
      <c r="AH111" s="49">
        <v>2421.821</v>
      </c>
      <c r="AI111" s="49">
        <v>154.134</v>
      </c>
      <c r="AJ111" s="49">
        <v>3638.456</v>
      </c>
      <c r="AK111" s="49">
        <v>4690.228</v>
      </c>
      <c r="AL111" s="49">
        <v>52.902</v>
      </c>
      <c r="AM111" s="14">
        <f t="shared" si="11"/>
        <v>28514.002</v>
      </c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8"/>
      <c r="ED111" s="18"/>
      <c r="EE111" s="18"/>
      <c r="EF111" s="18"/>
      <c r="EG111" s="18"/>
      <c r="EH111" s="18"/>
      <c r="EI111" s="18"/>
      <c r="EJ111" s="18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</row>
    <row r="112" spans="1:159" s="19" customFormat="1" ht="15">
      <c r="A112" s="22">
        <v>34546</v>
      </c>
      <c r="B112" s="49">
        <f t="shared" si="6"/>
        <v>1762.083</v>
      </c>
      <c r="C112" s="13">
        <f>(351848+69396+173577+295983+221298+53423+448583)/1000</f>
        <v>1614.108</v>
      </c>
      <c r="D112" s="13">
        <f>(70726+61530)/1000</f>
        <v>132.256</v>
      </c>
      <c r="E112" s="13">
        <v>15.719</v>
      </c>
      <c r="F112" s="49">
        <v>158.996</v>
      </c>
      <c r="G112" s="49">
        <f t="shared" si="7"/>
        <v>3028.8089999999997</v>
      </c>
      <c r="H112" s="13">
        <v>323.813</v>
      </c>
      <c r="I112" s="13">
        <f>(636471+40222)/1000</f>
        <v>676.693</v>
      </c>
      <c r="J112" s="13">
        <v>274.633</v>
      </c>
      <c r="K112" s="13">
        <v>208.638</v>
      </c>
      <c r="L112" s="13">
        <v>177.644</v>
      </c>
      <c r="M112" s="13">
        <v>116.93</v>
      </c>
      <c r="N112" s="13">
        <v>189.984</v>
      </c>
      <c r="O112" s="13">
        <v>313.785</v>
      </c>
      <c r="P112" s="13">
        <v>746.689</v>
      </c>
      <c r="Q112" s="49">
        <f t="shared" si="8"/>
        <v>4310.779</v>
      </c>
      <c r="R112" s="13">
        <v>3394.41</v>
      </c>
      <c r="S112" s="13">
        <v>619.023</v>
      </c>
      <c r="T112" s="13">
        <v>297.346</v>
      </c>
      <c r="U112" s="49">
        <v>875.823</v>
      </c>
      <c r="V112" s="49">
        <f t="shared" si="9"/>
        <v>2584.156</v>
      </c>
      <c r="W112" s="13">
        <v>2258.998</v>
      </c>
      <c r="X112" s="13">
        <v>74.812</v>
      </c>
      <c r="Y112" s="13">
        <v>250.346</v>
      </c>
      <c r="Z112" s="49">
        <v>191.802</v>
      </c>
      <c r="AA112" s="49">
        <f t="shared" si="10"/>
        <v>1931.988</v>
      </c>
      <c r="AB112" s="13">
        <v>1246.011</v>
      </c>
      <c r="AC112" s="13">
        <v>1.778</v>
      </c>
      <c r="AD112" s="13">
        <v>343.904</v>
      </c>
      <c r="AE112" s="13">
        <v>340.295</v>
      </c>
      <c r="AF112" s="49">
        <v>1853.665</v>
      </c>
      <c r="AG112" s="49">
        <v>0</v>
      </c>
      <c r="AH112" s="49">
        <v>2532.162</v>
      </c>
      <c r="AI112" s="49">
        <v>181.69</v>
      </c>
      <c r="AJ112" s="49">
        <v>3726.569</v>
      </c>
      <c r="AK112" s="49">
        <v>4801.261</v>
      </c>
      <c r="AL112" s="49">
        <v>75.505</v>
      </c>
      <c r="AM112" s="14">
        <f t="shared" si="11"/>
        <v>28015.287999999997</v>
      </c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8"/>
      <c r="ED112" s="18"/>
      <c r="EE112" s="18"/>
      <c r="EF112" s="18"/>
      <c r="EG112" s="18"/>
      <c r="EH112" s="18"/>
      <c r="EI112" s="18"/>
      <c r="EJ112" s="18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</row>
    <row r="113" spans="1:159" s="19" customFormat="1" ht="15">
      <c r="A113" s="22">
        <v>34577</v>
      </c>
      <c r="B113" s="49">
        <f t="shared" si="6"/>
        <v>1769.254</v>
      </c>
      <c r="C113" s="13">
        <f>(348952+69343+191298+257317+257872+56230+410316)/1000</f>
        <v>1591.328</v>
      </c>
      <c r="D113" s="13">
        <f>(79924+84376)/1000</f>
        <v>164.3</v>
      </c>
      <c r="E113" s="13">
        <v>13.626</v>
      </c>
      <c r="F113" s="49">
        <v>168.94</v>
      </c>
      <c r="G113" s="49">
        <f t="shared" si="7"/>
        <v>3265.5710000000004</v>
      </c>
      <c r="H113" s="13">
        <v>328.047</v>
      </c>
      <c r="I113" s="13">
        <f>(812519+47311)/1000</f>
        <v>859.83</v>
      </c>
      <c r="J113" s="13">
        <v>291.177</v>
      </c>
      <c r="K113" s="13">
        <v>240.946</v>
      </c>
      <c r="L113" s="13">
        <v>157.518</v>
      </c>
      <c r="M113" s="13">
        <v>132.56</v>
      </c>
      <c r="N113" s="13">
        <v>168.001</v>
      </c>
      <c r="O113" s="13">
        <v>296.619</v>
      </c>
      <c r="P113" s="13">
        <v>790.873</v>
      </c>
      <c r="Q113" s="49">
        <f t="shared" si="8"/>
        <v>4210.022</v>
      </c>
      <c r="R113" s="13">
        <v>3230.729</v>
      </c>
      <c r="S113" s="13">
        <v>681.586</v>
      </c>
      <c r="T113" s="13">
        <v>297.707</v>
      </c>
      <c r="U113" s="49">
        <v>696.711</v>
      </c>
      <c r="V113" s="49">
        <f t="shared" si="9"/>
        <v>2672.246</v>
      </c>
      <c r="W113" s="13">
        <v>2318.059</v>
      </c>
      <c r="X113" s="13">
        <v>105.366</v>
      </c>
      <c r="Y113" s="13">
        <v>248.821</v>
      </c>
      <c r="Z113" s="49">
        <v>184.081</v>
      </c>
      <c r="AA113" s="49">
        <f t="shared" si="10"/>
        <v>1785.526</v>
      </c>
      <c r="AB113" s="13">
        <v>1227.873</v>
      </c>
      <c r="AC113" s="13">
        <v>2.387</v>
      </c>
      <c r="AD113" s="13">
        <v>379.673</v>
      </c>
      <c r="AE113" s="13">
        <v>175.593</v>
      </c>
      <c r="AF113" s="49">
        <v>1866.119</v>
      </c>
      <c r="AG113" s="49">
        <v>0</v>
      </c>
      <c r="AH113" s="49">
        <v>2812.446</v>
      </c>
      <c r="AI113" s="49">
        <v>186.367</v>
      </c>
      <c r="AJ113" s="49">
        <v>3784.153</v>
      </c>
      <c r="AK113" s="49">
        <v>5092.816</v>
      </c>
      <c r="AL113" s="49">
        <v>27.752</v>
      </c>
      <c r="AM113" s="14">
        <f t="shared" si="11"/>
        <v>28522.003999999994</v>
      </c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8"/>
      <c r="ED113" s="18"/>
      <c r="EE113" s="18"/>
      <c r="EF113" s="18"/>
      <c r="EG113" s="18"/>
      <c r="EH113" s="18"/>
      <c r="EI113" s="18"/>
      <c r="EJ113" s="18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</row>
    <row r="114" spans="1:159" s="19" customFormat="1" ht="15">
      <c r="A114" s="22">
        <v>34607</v>
      </c>
      <c r="B114" s="49">
        <f t="shared" si="6"/>
        <v>1815.741</v>
      </c>
      <c r="C114" s="13">
        <f>(364766+76191+209561+238448+241820+60280+458270)/1000</f>
        <v>1649.336</v>
      </c>
      <c r="D114" s="13">
        <f>(90121+58052)/1000</f>
        <v>148.173</v>
      </c>
      <c r="E114" s="13">
        <v>18.232</v>
      </c>
      <c r="F114" s="49">
        <v>252.774</v>
      </c>
      <c r="G114" s="49">
        <f t="shared" si="7"/>
        <v>3466.023</v>
      </c>
      <c r="H114" s="13">
        <v>365.288</v>
      </c>
      <c r="I114" s="13">
        <f>(854799+40281)/1000</f>
        <v>895.08</v>
      </c>
      <c r="J114" s="13">
        <v>297.443</v>
      </c>
      <c r="K114" s="13">
        <v>248.923</v>
      </c>
      <c r="L114" s="13">
        <v>197.357</v>
      </c>
      <c r="M114" s="13">
        <v>143.252</v>
      </c>
      <c r="N114" s="13">
        <v>162.802</v>
      </c>
      <c r="O114" s="13">
        <v>256.571</v>
      </c>
      <c r="P114" s="13">
        <v>899.307</v>
      </c>
      <c r="Q114" s="49">
        <f t="shared" si="8"/>
        <v>5104.835</v>
      </c>
      <c r="R114" s="13">
        <v>3264.157</v>
      </c>
      <c r="S114" s="13">
        <v>1516.041</v>
      </c>
      <c r="T114" s="13">
        <v>324.637</v>
      </c>
      <c r="U114" s="49">
        <v>816.844</v>
      </c>
      <c r="V114" s="49">
        <f t="shared" si="9"/>
        <v>2712.1609999999996</v>
      </c>
      <c r="W114" s="13">
        <v>2384.819</v>
      </c>
      <c r="X114" s="13">
        <v>88.046</v>
      </c>
      <c r="Y114" s="13">
        <v>239.296</v>
      </c>
      <c r="Z114" s="49">
        <v>148.645</v>
      </c>
      <c r="AA114" s="49">
        <f t="shared" si="10"/>
        <v>2385.55</v>
      </c>
      <c r="AB114" s="13">
        <v>1682.824</v>
      </c>
      <c r="AC114" s="13">
        <v>2.69</v>
      </c>
      <c r="AD114" s="13">
        <v>508.219</v>
      </c>
      <c r="AE114" s="13">
        <v>191.817</v>
      </c>
      <c r="AF114" s="49">
        <v>2044.403</v>
      </c>
      <c r="AG114" s="49">
        <v>0</v>
      </c>
      <c r="AH114" s="49">
        <v>3149.969</v>
      </c>
      <c r="AI114" s="49">
        <v>172.636</v>
      </c>
      <c r="AJ114" s="49">
        <v>4180.359</v>
      </c>
      <c r="AK114" s="49">
        <v>5141.49</v>
      </c>
      <c r="AL114" s="49">
        <v>23.274</v>
      </c>
      <c r="AM114" s="14">
        <f t="shared" si="11"/>
        <v>31414.704</v>
      </c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8"/>
      <c r="ED114" s="18"/>
      <c r="EE114" s="18"/>
      <c r="EF114" s="18"/>
      <c r="EG114" s="18"/>
      <c r="EH114" s="18"/>
      <c r="EI114" s="18"/>
      <c r="EJ114" s="18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</row>
    <row r="115" spans="1:159" s="19" customFormat="1" ht="15">
      <c r="A115" s="22">
        <v>34638</v>
      </c>
      <c r="B115" s="49">
        <f t="shared" si="6"/>
        <v>1865.4049999999997</v>
      </c>
      <c r="C115" s="13">
        <f>(369568+72268+222417+252716+279582+67835+443118)/1000</f>
        <v>1707.504</v>
      </c>
      <c r="D115" s="13">
        <f>(88259+50927)/1000</f>
        <v>139.186</v>
      </c>
      <c r="E115" s="13">
        <v>18.715</v>
      </c>
      <c r="F115" s="49">
        <v>222.611</v>
      </c>
      <c r="G115" s="49">
        <f t="shared" si="7"/>
        <v>3626.216</v>
      </c>
      <c r="H115" s="13">
        <v>336.374</v>
      </c>
      <c r="I115" s="13">
        <f>(903299+43414)/1000</f>
        <v>946.713</v>
      </c>
      <c r="J115" s="13">
        <v>220.78</v>
      </c>
      <c r="K115" s="13">
        <v>255.875</v>
      </c>
      <c r="L115" s="13">
        <v>229.397</v>
      </c>
      <c r="M115" s="13">
        <v>126.742</v>
      </c>
      <c r="N115" s="13">
        <v>178.011</v>
      </c>
      <c r="O115" s="13">
        <v>295.248</v>
      </c>
      <c r="P115" s="13">
        <v>1037.076</v>
      </c>
      <c r="Q115" s="49">
        <f t="shared" si="8"/>
        <v>4460.542</v>
      </c>
      <c r="R115" s="13">
        <v>3844.534</v>
      </c>
      <c r="S115" s="13">
        <v>290.374</v>
      </c>
      <c r="T115" s="13">
        <v>325.634</v>
      </c>
      <c r="U115" s="49">
        <v>1650.904</v>
      </c>
      <c r="V115" s="49">
        <f t="shared" si="9"/>
        <v>3021.66</v>
      </c>
      <c r="W115" s="13">
        <v>2713.122</v>
      </c>
      <c r="X115" s="13">
        <v>93.796</v>
      </c>
      <c r="Y115" s="13">
        <v>214.742</v>
      </c>
      <c r="Z115" s="49">
        <v>162.669</v>
      </c>
      <c r="AA115" s="49">
        <f t="shared" si="10"/>
        <v>2182.042</v>
      </c>
      <c r="AB115" s="13">
        <v>1666.12</v>
      </c>
      <c r="AC115" s="13">
        <v>2.792</v>
      </c>
      <c r="AD115" s="13">
        <v>259.225</v>
      </c>
      <c r="AE115" s="13">
        <v>253.905</v>
      </c>
      <c r="AF115" s="49">
        <v>2090.839</v>
      </c>
      <c r="AG115" s="49">
        <v>0</v>
      </c>
      <c r="AH115" s="49">
        <v>2823.358</v>
      </c>
      <c r="AI115" s="49">
        <v>187.628</v>
      </c>
      <c r="AJ115" s="49">
        <v>4412.492</v>
      </c>
      <c r="AK115" s="49">
        <v>5168.168</v>
      </c>
      <c r="AL115" s="49">
        <v>30.037</v>
      </c>
      <c r="AM115" s="14">
        <f t="shared" si="11"/>
        <v>31904.571</v>
      </c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8"/>
      <c r="ED115" s="18"/>
      <c r="EE115" s="18"/>
      <c r="EF115" s="18"/>
      <c r="EG115" s="18"/>
      <c r="EH115" s="18"/>
      <c r="EI115" s="18"/>
      <c r="EJ115" s="18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</row>
    <row r="116" spans="1:159" s="19" customFormat="1" ht="15">
      <c r="A116" s="22">
        <v>34668</v>
      </c>
      <c r="B116" s="49">
        <f t="shared" si="6"/>
        <v>2073.676</v>
      </c>
      <c r="C116" s="13">
        <f>(438132+73901+238616+251643+323774+71379+484055)/1000</f>
        <v>1881.5</v>
      </c>
      <c r="D116" s="13">
        <f>(101338+74874)/1000</f>
        <v>176.212</v>
      </c>
      <c r="E116" s="13">
        <v>15.964</v>
      </c>
      <c r="F116" s="49">
        <v>247.395</v>
      </c>
      <c r="G116" s="49">
        <f t="shared" si="7"/>
        <v>3823.681</v>
      </c>
      <c r="H116" s="13">
        <v>354.757</v>
      </c>
      <c r="I116" s="13">
        <f>(933751+41542)/1000</f>
        <v>975.293</v>
      </c>
      <c r="J116" s="13">
        <v>227.369</v>
      </c>
      <c r="K116" s="13">
        <v>258.858</v>
      </c>
      <c r="L116" s="13">
        <v>215.879</v>
      </c>
      <c r="M116" s="13">
        <v>142.997</v>
      </c>
      <c r="N116" s="13">
        <v>174.185</v>
      </c>
      <c r="O116" s="13">
        <v>275.117</v>
      </c>
      <c r="P116" s="13">
        <v>1199.226</v>
      </c>
      <c r="Q116" s="49">
        <f t="shared" si="8"/>
        <v>4443.147</v>
      </c>
      <c r="R116" s="13">
        <v>3817.017</v>
      </c>
      <c r="S116" s="13">
        <v>292.063</v>
      </c>
      <c r="T116" s="13">
        <v>334.067</v>
      </c>
      <c r="U116" s="49">
        <v>1088.816</v>
      </c>
      <c r="V116" s="49">
        <f t="shared" si="9"/>
        <v>2977.7909999999997</v>
      </c>
      <c r="W116" s="13">
        <v>2658.647</v>
      </c>
      <c r="X116" s="13">
        <v>92.901</v>
      </c>
      <c r="Y116" s="13">
        <v>226.243</v>
      </c>
      <c r="Z116" s="49">
        <v>175.117</v>
      </c>
      <c r="AA116" s="49">
        <f t="shared" si="10"/>
        <v>2910.636</v>
      </c>
      <c r="AB116" s="13">
        <v>1666.421</v>
      </c>
      <c r="AC116" s="13">
        <v>3.146</v>
      </c>
      <c r="AD116" s="13">
        <v>607.596</v>
      </c>
      <c r="AE116" s="13">
        <v>633.473</v>
      </c>
      <c r="AF116" s="49">
        <v>2067.737</v>
      </c>
      <c r="AG116" s="49">
        <v>0</v>
      </c>
      <c r="AH116" s="49">
        <v>2875.031</v>
      </c>
      <c r="AI116" s="49">
        <v>180.805</v>
      </c>
      <c r="AJ116" s="49">
        <v>4278.539</v>
      </c>
      <c r="AK116" s="49">
        <v>5577.93</v>
      </c>
      <c r="AL116" s="49">
        <v>23.972</v>
      </c>
      <c r="AM116" s="14">
        <f t="shared" si="11"/>
        <v>32744.273000000005</v>
      </c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8"/>
      <c r="ED116" s="18"/>
      <c r="EE116" s="18"/>
      <c r="EF116" s="18"/>
      <c r="EG116" s="18"/>
      <c r="EH116" s="18"/>
      <c r="EI116" s="18"/>
      <c r="EJ116" s="18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</row>
    <row r="117" spans="1:159" s="19" customFormat="1" ht="15">
      <c r="A117" s="22">
        <v>34699</v>
      </c>
      <c r="B117" s="49">
        <f t="shared" si="6"/>
        <v>2038.4720000000002</v>
      </c>
      <c r="C117" s="13">
        <f>(385667+73491+264003+241369+290868+68943+527655)/1000</f>
        <v>1851.996</v>
      </c>
      <c r="D117" s="13">
        <f>(88396+79189)/1000</f>
        <v>167.585</v>
      </c>
      <c r="E117" s="13">
        <v>18.891</v>
      </c>
      <c r="F117" s="49">
        <v>236.441</v>
      </c>
      <c r="G117" s="49">
        <f t="shared" si="7"/>
        <v>3867.238</v>
      </c>
      <c r="H117" s="13">
        <v>460.977</v>
      </c>
      <c r="I117" s="13">
        <f>(629527+45037)/1000</f>
        <v>674.564</v>
      </c>
      <c r="J117" s="13">
        <v>269.982</v>
      </c>
      <c r="K117" s="13">
        <v>256.635</v>
      </c>
      <c r="L117" s="13">
        <v>193.35</v>
      </c>
      <c r="M117" s="13">
        <v>160.919</v>
      </c>
      <c r="N117" s="13">
        <v>227.44</v>
      </c>
      <c r="O117" s="13">
        <v>348.465</v>
      </c>
      <c r="P117" s="13">
        <v>1274.906</v>
      </c>
      <c r="Q117" s="49">
        <f t="shared" si="8"/>
        <v>4616.147</v>
      </c>
      <c r="R117" s="13">
        <v>3992.479</v>
      </c>
      <c r="S117" s="13">
        <v>299.726</v>
      </c>
      <c r="T117" s="13">
        <v>323.942</v>
      </c>
      <c r="U117" s="49">
        <v>1232.084</v>
      </c>
      <c r="V117" s="49">
        <f t="shared" si="9"/>
        <v>3026.8549999999996</v>
      </c>
      <c r="W117" s="13">
        <v>2705.892</v>
      </c>
      <c r="X117" s="13">
        <v>86.497</v>
      </c>
      <c r="Y117" s="13">
        <v>234.466</v>
      </c>
      <c r="Z117" s="49">
        <v>197.361</v>
      </c>
      <c r="AA117" s="49">
        <f t="shared" si="10"/>
        <v>2674.275</v>
      </c>
      <c r="AB117" s="13">
        <v>1651.653</v>
      </c>
      <c r="AC117" s="13">
        <v>6.247</v>
      </c>
      <c r="AD117" s="13">
        <v>485.957</v>
      </c>
      <c r="AE117" s="13">
        <v>530.418</v>
      </c>
      <c r="AF117" s="49">
        <v>2061.705</v>
      </c>
      <c r="AG117" s="49">
        <v>0</v>
      </c>
      <c r="AH117" s="49">
        <v>2912.101</v>
      </c>
      <c r="AI117" s="49">
        <v>175.336</v>
      </c>
      <c r="AJ117" s="49">
        <v>3614.394</v>
      </c>
      <c r="AK117" s="49">
        <v>5622.008</v>
      </c>
      <c r="AL117" s="49">
        <v>19.955</v>
      </c>
      <c r="AM117" s="14">
        <f t="shared" si="11"/>
        <v>32294.372000000003</v>
      </c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8"/>
      <c r="ED117" s="18"/>
      <c r="EE117" s="18"/>
      <c r="EF117" s="18"/>
      <c r="EG117" s="18"/>
      <c r="EH117" s="18"/>
      <c r="EI117" s="18"/>
      <c r="EJ117" s="18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</row>
    <row r="118" spans="1:159" s="19" customFormat="1" ht="15">
      <c r="A118" s="22">
        <v>34730</v>
      </c>
      <c r="B118" s="49">
        <f t="shared" si="6"/>
        <v>2141.735</v>
      </c>
      <c r="C118" s="13">
        <f>(385280+77489+273598+296436+293434+69272+559675)/1000</f>
        <v>1955.184</v>
      </c>
      <c r="D118" s="13">
        <f>(93340+86010)/1000</f>
        <v>179.35</v>
      </c>
      <c r="E118" s="13">
        <v>7.201</v>
      </c>
      <c r="F118" s="49">
        <v>223.97</v>
      </c>
      <c r="G118" s="49">
        <f t="shared" si="7"/>
        <v>4275.583</v>
      </c>
      <c r="H118" s="13">
        <v>495.319</v>
      </c>
      <c r="I118" s="13">
        <f>(773865+46972)/1000</f>
        <v>820.837</v>
      </c>
      <c r="J118" s="13">
        <v>295.439</v>
      </c>
      <c r="K118" s="13">
        <v>307.004</v>
      </c>
      <c r="L118" s="13">
        <v>228.859</v>
      </c>
      <c r="M118" s="13">
        <v>182.301</v>
      </c>
      <c r="N118" s="13">
        <v>227.017</v>
      </c>
      <c r="O118" s="13">
        <v>340.83</v>
      </c>
      <c r="P118" s="13">
        <v>1377.977</v>
      </c>
      <c r="Q118" s="49">
        <f t="shared" si="8"/>
        <v>4779.9130000000005</v>
      </c>
      <c r="R118" s="13">
        <v>4106.033</v>
      </c>
      <c r="S118" s="13">
        <v>330.317</v>
      </c>
      <c r="T118" s="13">
        <v>343.563</v>
      </c>
      <c r="U118" s="49">
        <v>1312.825</v>
      </c>
      <c r="V118" s="49">
        <f t="shared" si="9"/>
        <v>3156.335</v>
      </c>
      <c r="W118" s="13">
        <v>2820.207</v>
      </c>
      <c r="X118" s="13">
        <v>98.81</v>
      </c>
      <c r="Y118" s="13">
        <v>237.318</v>
      </c>
      <c r="Z118" s="49">
        <v>159.786</v>
      </c>
      <c r="AA118" s="49">
        <f t="shared" si="10"/>
        <v>2563.3370000000004</v>
      </c>
      <c r="AB118" s="13">
        <v>1579.672</v>
      </c>
      <c r="AC118" s="13">
        <v>11.285</v>
      </c>
      <c r="AD118" s="13">
        <v>432.814</v>
      </c>
      <c r="AE118" s="13">
        <v>539.566</v>
      </c>
      <c r="AF118" s="49">
        <v>2227.622</v>
      </c>
      <c r="AG118" s="49">
        <v>0</v>
      </c>
      <c r="AH118" s="49">
        <v>3042.096</v>
      </c>
      <c r="AI118" s="49">
        <v>187.393</v>
      </c>
      <c r="AJ118" s="49">
        <v>3725.332</v>
      </c>
      <c r="AK118" s="49">
        <v>5786.771</v>
      </c>
      <c r="AL118" s="49">
        <v>28.157</v>
      </c>
      <c r="AM118" s="14">
        <f t="shared" si="11"/>
        <v>33610.854999999996</v>
      </c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8"/>
      <c r="ED118" s="18"/>
      <c r="EE118" s="18"/>
      <c r="EF118" s="18"/>
      <c r="EG118" s="18"/>
      <c r="EH118" s="18"/>
      <c r="EI118" s="18"/>
      <c r="EJ118" s="18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</row>
    <row r="119" spans="1:159" s="19" customFormat="1" ht="15">
      <c r="A119" s="22">
        <v>34758</v>
      </c>
      <c r="B119" s="49">
        <f t="shared" si="6"/>
        <v>2306.093</v>
      </c>
      <c r="C119" s="13">
        <f>(476276+89356+287944+325307+294119+66132+548709)/1000</f>
        <v>2087.843</v>
      </c>
      <c r="D119" s="13">
        <f>(100612+98413)/1000</f>
        <v>199.025</v>
      </c>
      <c r="E119" s="13">
        <v>19.225</v>
      </c>
      <c r="F119" s="49">
        <v>176.826</v>
      </c>
      <c r="G119" s="49">
        <f t="shared" si="7"/>
        <v>4365.442999999999</v>
      </c>
      <c r="H119" s="13">
        <v>451.589</v>
      </c>
      <c r="I119" s="13">
        <f>(856489+47751)/1000</f>
        <v>904.24</v>
      </c>
      <c r="J119" s="13">
        <v>337.103</v>
      </c>
      <c r="K119" s="13">
        <v>318.109</v>
      </c>
      <c r="L119" s="13">
        <v>230.472</v>
      </c>
      <c r="M119" s="13">
        <v>230.171</v>
      </c>
      <c r="N119" s="13">
        <v>220.176</v>
      </c>
      <c r="O119" s="13">
        <v>276.892</v>
      </c>
      <c r="P119" s="13">
        <v>1396.691</v>
      </c>
      <c r="Q119" s="49">
        <f t="shared" si="8"/>
        <v>4785.454000000001</v>
      </c>
      <c r="R119" s="13">
        <v>3942.781</v>
      </c>
      <c r="S119" s="13">
        <v>388.301</v>
      </c>
      <c r="T119" s="13">
        <v>454.372</v>
      </c>
      <c r="U119" s="49">
        <v>1669.729</v>
      </c>
      <c r="V119" s="49">
        <f t="shared" si="9"/>
        <v>3297.855</v>
      </c>
      <c r="W119" s="13">
        <v>2888.027</v>
      </c>
      <c r="X119" s="13">
        <v>99.753</v>
      </c>
      <c r="Y119" s="13">
        <v>310.075</v>
      </c>
      <c r="Z119" s="49">
        <v>185.126</v>
      </c>
      <c r="AA119" s="49">
        <f t="shared" si="10"/>
        <v>3037.3550000000005</v>
      </c>
      <c r="AB119" s="13">
        <v>1517.625</v>
      </c>
      <c r="AC119" s="13">
        <v>8.159</v>
      </c>
      <c r="AD119" s="13">
        <v>989.231</v>
      </c>
      <c r="AE119" s="13">
        <v>522.34</v>
      </c>
      <c r="AF119" s="49">
        <v>2455.154</v>
      </c>
      <c r="AG119" s="49">
        <v>0</v>
      </c>
      <c r="AH119" s="49">
        <v>2828.906</v>
      </c>
      <c r="AI119" s="49">
        <v>219.478</v>
      </c>
      <c r="AJ119" s="49">
        <v>3595.51</v>
      </c>
      <c r="AK119" s="49">
        <v>5754.106</v>
      </c>
      <c r="AL119" s="49">
        <v>27.287</v>
      </c>
      <c r="AM119" s="14">
        <f t="shared" si="11"/>
        <v>34704.32199999999</v>
      </c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8"/>
      <c r="ED119" s="18"/>
      <c r="EE119" s="18"/>
      <c r="EF119" s="18"/>
      <c r="EG119" s="18"/>
      <c r="EH119" s="18"/>
      <c r="EI119" s="18"/>
      <c r="EJ119" s="18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</row>
    <row r="120" spans="1:159" s="19" customFormat="1" ht="15">
      <c r="A120" s="22">
        <v>34789</v>
      </c>
      <c r="B120" s="49">
        <f t="shared" si="6"/>
        <v>2147.56</v>
      </c>
      <c r="C120" s="13">
        <f>(413492+90025+272542+336886+260910+75166+482713)/1000</f>
        <v>1931.734</v>
      </c>
      <c r="D120" s="13">
        <f>(87390+106373)/1000</f>
        <v>193.763</v>
      </c>
      <c r="E120" s="13">
        <v>22.063</v>
      </c>
      <c r="F120" s="49">
        <v>215.819</v>
      </c>
      <c r="G120" s="49">
        <f t="shared" si="7"/>
        <v>4577.325000000001</v>
      </c>
      <c r="H120" s="13">
        <v>532.835</v>
      </c>
      <c r="I120" s="13">
        <f>(781019+142143)/1000</f>
        <v>923.162</v>
      </c>
      <c r="J120" s="13">
        <v>324.739</v>
      </c>
      <c r="K120" s="13">
        <v>316.962</v>
      </c>
      <c r="L120" s="13">
        <v>227.822</v>
      </c>
      <c r="M120" s="13">
        <v>195.595</v>
      </c>
      <c r="N120" s="13">
        <v>396.89</v>
      </c>
      <c r="O120" s="13">
        <v>338.795</v>
      </c>
      <c r="P120" s="13">
        <v>1320.525</v>
      </c>
      <c r="Q120" s="49">
        <f t="shared" si="8"/>
        <v>4974.399</v>
      </c>
      <c r="R120" s="13">
        <v>4066.005</v>
      </c>
      <c r="S120" s="13">
        <v>420.562</v>
      </c>
      <c r="T120" s="13">
        <v>487.832</v>
      </c>
      <c r="U120" s="49">
        <v>1599.205</v>
      </c>
      <c r="V120" s="49">
        <f t="shared" si="9"/>
        <v>3533.352</v>
      </c>
      <c r="W120" s="13">
        <v>2848.984</v>
      </c>
      <c r="X120" s="13">
        <v>97.871</v>
      </c>
      <c r="Y120" s="13">
        <v>586.497</v>
      </c>
      <c r="Z120" s="49">
        <v>271.241</v>
      </c>
      <c r="AA120" s="49">
        <f t="shared" si="10"/>
        <v>3303.2670000000003</v>
      </c>
      <c r="AB120" s="13">
        <v>1626.808</v>
      </c>
      <c r="AC120" s="13">
        <v>0.942</v>
      </c>
      <c r="AD120" s="13">
        <v>1186.604</v>
      </c>
      <c r="AE120" s="13">
        <v>488.913</v>
      </c>
      <c r="AF120" s="49">
        <v>2645.215</v>
      </c>
      <c r="AG120" s="49">
        <v>0</v>
      </c>
      <c r="AH120" s="49">
        <v>2809.048</v>
      </c>
      <c r="AI120" s="49">
        <v>205.687</v>
      </c>
      <c r="AJ120" s="49">
        <v>3499.408</v>
      </c>
      <c r="AK120" s="49">
        <v>5988.987</v>
      </c>
      <c r="AL120" s="49">
        <v>34.471</v>
      </c>
      <c r="AM120" s="14">
        <f t="shared" si="11"/>
        <v>35804.984</v>
      </c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8"/>
      <c r="ED120" s="18"/>
      <c r="EE120" s="18"/>
      <c r="EF120" s="18"/>
      <c r="EG120" s="18"/>
      <c r="EH120" s="18"/>
      <c r="EI120" s="18"/>
      <c r="EJ120" s="18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</row>
    <row r="121" spans="1:159" s="19" customFormat="1" ht="15">
      <c r="A121" s="22">
        <v>34819</v>
      </c>
      <c r="B121" s="49">
        <f t="shared" si="6"/>
        <v>2004.533</v>
      </c>
      <c r="C121" s="13">
        <f>(403236+101532+266094+259437+228464+98578+444028)/1000</f>
        <v>1801.369</v>
      </c>
      <c r="D121" s="13">
        <f>(97444+77014)/1000</f>
        <v>174.458</v>
      </c>
      <c r="E121" s="13">
        <v>28.706</v>
      </c>
      <c r="F121" s="49">
        <v>233.594</v>
      </c>
      <c r="G121" s="49">
        <f t="shared" si="7"/>
        <v>4739.3189999999995</v>
      </c>
      <c r="H121" s="13">
        <v>579.639</v>
      </c>
      <c r="I121" s="13">
        <f>(907560+45833)/1000</f>
        <v>953.393</v>
      </c>
      <c r="J121" s="13">
        <v>336.323</v>
      </c>
      <c r="K121" s="13">
        <v>342.245</v>
      </c>
      <c r="L121" s="13">
        <v>266.006</v>
      </c>
      <c r="M121" s="13">
        <v>203.804</v>
      </c>
      <c r="N121" s="13">
        <v>396.87</v>
      </c>
      <c r="O121" s="13">
        <v>328.814</v>
      </c>
      <c r="P121" s="13">
        <v>1332.225</v>
      </c>
      <c r="Q121" s="49">
        <f t="shared" si="8"/>
        <v>4926.688</v>
      </c>
      <c r="R121" s="13">
        <v>4103.049</v>
      </c>
      <c r="S121" s="13">
        <v>446.957</v>
      </c>
      <c r="T121" s="13">
        <v>376.682</v>
      </c>
      <c r="U121" s="49">
        <v>1377.066</v>
      </c>
      <c r="V121" s="49">
        <f t="shared" si="9"/>
        <v>3281.846</v>
      </c>
      <c r="W121" s="13">
        <v>2986.922</v>
      </c>
      <c r="X121" s="13">
        <v>125.316</v>
      </c>
      <c r="Y121" s="13">
        <v>169.608</v>
      </c>
      <c r="Z121" s="49">
        <v>334.413</v>
      </c>
      <c r="AA121" s="49">
        <f t="shared" si="10"/>
        <v>4151.81</v>
      </c>
      <c r="AB121" s="13">
        <v>2281.559</v>
      </c>
      <c r="AC121" s="13">
        <v>5.76</v>
      </c>
      <c r="AD121" s="13">
        <v>1374.115</v>
      </c>
      <c r="AE121" s="13">
        <v>490.376</v>
      </c>
      <c r="AF121" s="49">
        <v>2715.475</v>
      </c>
      <c r="AG121" s="49">
        <v>0</v>
      </c>
      <c r="AH121" s="49">
        <v>2868.705</v>
      </c>
      <c r="AI121" s="49">
        <v>210.077</v>
      </c>
      <c r="AJ121" s="49">
        <v>3669.549</v>
      </c>
      <c r="AK121" s="49">
        <v>6232.177</v>
      </c>
      <c r="AL121" s="49">
        <v>28.335</v>
      </c>
      <c r="AM121" s="14">
        <f t="shared" si="11"/>
        <v>36773.587</v>
      </c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8"/>
      <c r="ED121" s="18"/>
      <c r="EE121" s="18"/>
      <c r="EF121" s="18"/>
      <c r="EG121" s="18"/>
      <c r="EH121" s="18"/>
      <c r="EI121" s="18"/>
      <c r="EJ121" s="18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</row>
    <row r="122" spans="1:159" s="19" customFormat="1" ht="15">
      <c r="A122" s="22">
        <v>34850</v>
      </c>
      <c r="B122" s="49">
        <f t="shared" si="6"/>
        <v>1908.043</v>
      </c>
      <c r="C122" s="13">
        <f>(403429+101249+240614+246651+219619+71801+435496)/1000</f>
        <v>1718.859</v>
      </c>
      <c r="D122" s="13">
        <f>(80009+74850)/1000</f>
        <v>154.859</v>
      </c>
      <c r="E122" s="13">
        <v>34.325</v>
      </c>
      <c r="F122" s="49">
        <v>226.642</v>
      </c>
      <c r="G122" s="49">
        <f t="shared" si="7"/>
        <v>4573.052</v>
      </c>
      <c r="H122" s="13">
        <v>533.994</v>
      </c>
      <c r="I122" s="13">
        <f>(811528+38169)/1000</f>
        <v>849.697</v>
      </c>
      <c r="J122" s="13">
        <v>301.553</v>
      </c>
      <c r="K122" s="13">
        <v>338.659</v>
      </c>
      <c r="L122" s="13">
        <v>240.921</v>
      </c>
      <c r="M122" s="13">
        <v>190.92</v>
      </c>
      <c r="N122" s="13">
        <v>385.924</v>
      </c>
      <c r="O122" s="13">
        <v>359.668</v>
      </c>
      <c r="P122" s="13">
        <v>1371.716</v>
      </c>
      <c r="Q122" s="49">
        <f t="shared" si="8"/>
        <v>5405.987</v>
      </c>
      <c r="R122" s="13">
        <v>4564.847</v>
      </c>
      <c r="S122" s="13">
        <v>461.541</v>
      </c>
      <c r="T122" s="13">
        <v>379.599</v>
      </c>
      <c r="U122" s="49">
        <v>1406.129</v>
      </c>
      <c r="V122" s="49">
        <f t="shared" si="9"/>
        <v>3667.9649999999997</v>
      </c>
      <c r="W122" s="13">
        <v>2969.95</v>
      </c>
      <c r="X122" s="13">
        <v>98.792</v>
      </c>
      <c r="Y122" s="13">
        <v>599.223</v>
      </c>
      <c r="Z122" s="49">
        <v>256.506</v>
      </c>
      <c r="AA122" s="49">
        <f t="shared" si="10"/>
        <v>4776.799</v>
      </c>
      <c r="AB122" s="13">
        <v>3017.679</v>
      </c>
      <c r="AC122" s="13">
        <v>7.382</v>
      </c>
      <c r="AD122" s="13">
        <v>1253.386</v>
      </c>
      <c r="AE122" s="13">
        <v>498.352</v>
      </c>
      <c r="AF122" s="49">
        <v>2684.287</v>
      </c>
      <c r="AG122" s="49">
        <v>0</v>
      </c>
      <c r="AH122" s="49">
        <v>2890.219</v>
      </c>
      <c r="AI122" s="49">
        <v>209.312</v>
      </c>
      <c r="AJ122" s="49">
        <v>3929.091</v>
      </c>
      <c r="AK122" s="49">
        <v>6358.846</v>
      </c>
      <c r="AL122" s="49">
        <v>76.957</v>
      </c>
      <c r="AM122" s="14">
        <f t="shared" si="11"/>
        <v>38369.83500000001</v>
      </c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8"/>
      <c r="ED122" s="18"/>
      <c r="EE122" s="18"/>
      <c r="EF122" s="18"/>
      <c r="EG122" s="18"/>
      <c r="EH122" s="18"/>
      <c r="EI122" s="18"/>
      <c r="EJ122" s="18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</row>
    <row r="123" spans="1:159" s="19" customFormat="1" ht="15">
      <c r="A123" s="22">
        <v>34880</v>
      </c>
      <c r="B123" s="49">
        <f t="shared" si="6"/>
        <v>2005.489</v>
      </c>
      <c r="C123" s="13">
        <f>(406289+88530+200184+263519+339373+73351+451957)/1000</f>
        <v>1823.203</v>
      </c>
      <c r="D123" s="13">
        <f>(73867+76480)/1000</f>
        <v>150.347</v>
      </c>
      <c r="E123" s="13">
        <v>31.939</v>
      </c>
      <c r="F123" s="49">
        <v>222.657</v>
      </c>
      <c r="G123" s="49">
        <f t="shared" si="7"/>
        <v>4749.19</v>
      </c>
      <c r="H123" s="13">
        <v>600.461</v>
      </c>
      <c r="I123" s="13">
        <f>(885318+39473)/1000</f>
        <v>924.791</v>
      </c>
      <c r="J123" s="13">
        <v>276.202</v>
      </c>
      <c r="K123" s="13">
        <v>350.759</v>
      </c>
      <c r="L123" s="13">
        <v>265.825</v>
      </c>
      <c r="M123" s="13">
        <v>193.534</v>
      </c>
      <c r="N123" s="13">
        <v>425.238</v>
      </c>
      <c r="O123" s="13">
        <v>384.634</v>
      </c>
      <c r="P123" s="13">
        <v>1327.746</v>
      </c>
      <c r="Q123" s="49">
        <f t="shared" si="8"/>
        <v>5369.865999999999</v>
      </c>
      <c r="R123" s="13">
        <v>4395.565</v>
      </c>
      <c r="S123" s="13">
        <v>475.619</v>
      </c>
      <c r="T123" s="13">
        <v>498.682</v>
      </c>
      <c r="U123" s="49">
        <v>1345.732</v>
      </c>
      <c r="V123" s="49">
        <f t="shared" si="9"/>
        <v>3973.808</v>
      </c>
      <c r="W123" s="13">
        <v>3134.531</v>
      </c>
      <c r="X123" s="13">
        <v>89.957</v>
      </c>
      <c r="Y123" s="13">
        <v>749.32</v>
      </c>
      <c r="Z123" s="49">
        <v>311.51</v>
      </c>
      <c r="AA123" s="49">
        <f t="shared" si="10"/>
        <v>4864.994</v>
      </c>
      <c r="AB123" s="13">
        <v>3065.298</v>
      </c>
      <c r="AC123" s="13">
        <v>7.46</v>
      </c>
      <c r="AD123" s="13">
        <v>1304.165</v>
      </c>
      <c r="AE123" s="13">
        <v>488.071</v>
      </c>
      <c r="AF123" s="49">
        <v>2648.29</v>
      </c>
      <c r="AG123" s="49">
        <v>0</v>
      </c>
      <c r="AH123" s="49">
        <v>3187.087</v>
      </c>
      <c r="AI123" s="49">
        <v>227.11</v>
      </c>
      <c r="AJ123" s="49">
        <v>4282.893</v>
      </c>
      <c r="AK123" s="49">
        <v>6732.73</v>
      </c>
      <c r="AL123" s="49">
        <v>29.214</v>
      </c>
      <c r="AM123" s="14">
        <f t="shared" si="11"/>
        <v>39950.57</v>
      </c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8"/>
      <c r="ED123" s="18"/>
      <c r="EE123" s="18"/>
      <c r="EF123" s="18"/>
      <c r="EG123" s="18"/>
      <c r="EH123" s="18"/>
      <c r="EI123" s="18"/>
      <c r="EJ123" s="18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</row>
    <row r="124" spans="1:159" s="19" customFormat="1" ht="15">
      <c r="A124" s="22">
        <v>34911</v>
      </c>
      <c r="B124" s="49">
        <f t="shared" si="6"/>
        <v>1949.0430000000001</v>
      </c>
      <c r="C124" s="13">
        <f>(367729+40199+184265+238816+338426+70517+526588)/1000</f>
        <v>1766.54</v>
      </c>
      <c r="D124" s="13">
        <f>(73626+75708)/1000</f>
        <v>149.334</v>
      </c>
      <c r="E124" s="13">
        <v>33.169</v>
      </c>
      <c r="F124" s="49">
        <v>219.963</v>
      </c>
      <c r="G124" s="49">
        <f t="shared" si="7"/>
        <v>4782.887</v>
      </c>
      <c r="H124" s="13">
        <v>609.431</v>
      </c>
      <c r="I124" s="13">
        <f>(773979+61385)/1000</f>
        <v>835.364</v>
      </c>
      <c r="J124" s="13">
        <v>372.32</v>
      </c>
      <c r="K124" s="13">
        <v>304.845</v>
      </c>
      <c r="L124" s="13">
        <v>248.044</v>
      </c>
      <c r="M124" s="13">
        <v>177.756</v>
      </c>
      <c r="N124" s="13">
        <v>514.968</v>
      </c>
      <c r="O124" s="13">
        <v>311.149</v>
      </c>
      <c r="P124" s="13">
        <v>1409.01</v>
      </c>
      <c r="Q124" s="49">
        <f t="shared" si="8"/>
        <v>5156.727000000001</v>
      </c>
      <c r="R124" s="13">
        <v>4403.005</v>
      </c>
      <c r="S124" s="13">
        <v>332.859</v>
      </c>
      <c r="T124" s="13">
        <v>420.863</v>
      </c>
      <c r="U124" s="49">
        <v>1843.191</v>
      </c>
      <c r="V124" s="49">
        <f t="shared" si="9"/>
        <v>4057.4739999999997</v>
      </c>
      <c r="W124" s="13">
        <v>3183.877</v>
      </c>
      <c r="X124" s="13">
        <v>112.62</v>
      </c>
      <c r="Y124" s="13">
        <v>760.977</v>
      </c>
      <c r="Z124" s="49">
        <v>309.128</v>
      </c>
      <c r="AA124" s="49">
        <f t="shared" si="10"/>
        <v>4957.242</v>
      </c>
      <c r="AB124" s="13">
        <v>3012.833</v>
      </c>
      <c r="AC124" s="13">
        <v>1.54</v>
      </c>
      <c r="AD124" s="13">
        <v>1492.169</v>
      </c>
      <c r="AE124" s="13">
        <v>450.7</v>
      </c>
      <c r="AF124" s="49">
        <v>2678.897</v>
      </c>
      <c r="AG124" s="49">
        <v>0</v>
      </c>
      <c r="AH124" s="49">
        <v>3141.073</v>
      </c>
      <c r="AI124" s="49">
        <v>233.125</v>
      </c>
      <c r="AJ124" s="49">
        <v>4696.731</v>
      </c>
      <c r="AK124" s="49">
        <v>7534.454</v>
      </c>
      <c r="AL124" s="49">
        <v>36.741</v>
      </c>
      <c r="AM124" s="14">
        <f t="shared" si="11"/>
        <v>41596.676</v>
      </c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8"/>
      <c r="ED124" s="18"/>
      <c r="EE124" s="18"/>
      <c r="EF124" s="18"/>
      <c r="EG124" s="18"/>
      <c r="EH124" s="18"/>
      <c r="EI124" s="18"/>
      <c r="EJ124" s="18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</row>
    <row r="125" spans="1:159" s="19" customFormat="1" ht="15">
      <c r="A125" s="22">
        <v>34942</v>
      </c>
      <c r="B125" s="49">
        <f t="shared" si="6"/>
        <v>1871.512</v>
      </c>
      <c r="C125" s="13">
        <f>(375031+41708+190036+230150+333995+69493+438617)/1000</f>
        <v>1679.03</v>
      </c>
      <c r="D125" s="13">
        <f>(83860+71816)/1000</f>
        <v>155.676</v>
      </c>
      <c r="E125" s="13">
        <v>36.806</v>
      </c>
      <c r="F125" s="49">
        <v>310.269</v>
      </c>
      <c r="G125" s="49">
        <f t="shared" si="7"/>
        <v>5172.098</v>
      </c>
      <c r="H125" s="13">
        <v>562.753</v>
      </c>
      <c r="I125" s="13">
        <f>(779121+49947)/1000</f>
        <v>829.068</v>
      </c>
      <c r="J125" s="13">
        <v>587.399</v>
      </c>
      <c r="K125" s="13">
        <v>332.616</v>
      </c>
      <c r="L125" s="13">
        <v>248.049</v>
      </c>
      <c r="M125" s="13">
        <v>159.809</v>
      </c>
      <c r="N125" s="13">
        <v>530.939</v>
      </c>
      <c r="O125" s="13">
        <v>294.054</v>
      </c>
      <c r="P125" s="13">
        <v>1627.411</v>
      </c>
      <c r="Q125" s="49">
        <f t="shared" si="8"/>
        <v>5716.572</v>
      </c>
      <c r="R125" s="13">
        <v>4856.932</v>
      </c>
      <c r="S125" s="13">
        <v>424.657</v>
      </c>
      <c r="T125" s="13">
        <v>434.983</v>
      </c>
      <c r="U125" s="49">
        <v>2003.881</v>
      </c>
      <c r="V125" s="49">
        <f t="shared" si="9"/>
        <v>3972.429</v>
      </c>
      <c r="W125" s="13">
        <v>3184.372</v>
      </c>
      <c r="X125" s="13">
        <v>108.862</v>
      </c>
      <c r="Y125" s="13">
        <v>679.195</v>
      </c>
      <c r="Z125" s="49">
        <v>281.841</v>
      </c>
      <c r="AA125" s="49">
        <f t="shared" si="10"/>
        <v>4466.622</v>
      </c>
      <c r="AB125" s="13">
        <v>2504.372</v>
      </c>
      <c r="AC125" s="13">
        <v>3.081</v>
      </c>
      <c r="AD125" s="13">
        <v>1501.388</v>
      </c>
      <c r="AE125" s="13">
        <v>457.781</v>
      </c>
      <c r="AF125" s="49">
        <v>3161.293</v>
      </c>
      <c r="AG125" s="49">
        <v>0</v>
      </c>
      <c r="AH125" s="49">
        <v>3336.442</v>
      </c>
      <c r="AI125" s="49">
        <v>324.944</v>
      </c>
      <c r="AJ125" s="49">
        <v>4835.923</v>
      </c>
      <c r="AK125" s="49">
        <v>7804.085</v>
      </c>
      <c r="AL125" s="49">
        <v>36.236</v>
      </c>
      <c r="AM125" s="14">
        <f t="shared" si="11"/>
        <v>43294.147</v>
      </c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8"/>
      <c r="ED125" s="18"/>
      <c r="EE125" s="18"/>
      <c r="EF125" s="18"/>
      <c r="EG125" s="18"/>
      <c r="EH125" s="18"/>
      <c r="EI125" s="18"/>
      <c r="EJ125" s="18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</row>
    <row r="126" spans="1:159" s="19" customFormat="1" ht="15">
      <c r="A126" s="22">
        <v>34972</v>
      </c>
      <c r="B126" s="49">
        <f t="shared" si="6"/>
        <v>1938.988</v>
      </c>
      <c r="C126" s="13">
        <f>(416073+55148+192263+217765+406402+74413+384922)/1000</f>
        <v>1746.986</v>
      </c>
      <c r="D126" s="13">
        <f>(81281+72661)/1000</f>
        <v>153.942</v>
      </c>
      <c r="E126" s="13">
        <v>38.06</v>
      </c>
      <c r="F126" s="49">
        <v>328.134</v>
      </c>
      <c r="G126" s="49">
        <f t="shared" si="7"/>
        <v>5295.325</v>
      </c>
      <c r="H126" s="13">
        <v>502.415</v>
      </c>
      <c r="I126" s="13">
        <f>(726065+47307)/1000</f>
        <v>773.372</v>
      </c>
      <c r="J126" s="13">
        <v>587.778</v>
      </c>
      <c r="K126" s="13">
        <v>340.505</v>
      </c>
      <c r="L126" s="13">
        <v>245.564</v>
      </c>
      <c r="M126" s="13">
        <v>136.959</v>
      </c>
      <c r="N126" s="13">
        <v>578.616</v>
      </c>
      <c r="O126" s="13">
        <v>376.521</v>
      </c>
      <c r="P126" s="13">
        <v>1753.595</v>
      </c>
      <c r="Q126" s="49">
        <f t="shared" si="8"/>
        <v>6084.274</v>
      </c>
      <c r="R126" s="13">
        <v>5229.674</v>
      </c>
      <c r="S126" s="13">
        <v>388.743</v>
      </c>
      <c r="T126" s="13">
        <v>465.857</v>
      </c>
      <c r="U126" s="49">
        <v>1436.148</v>
      </c>
      <c r="V126" s="49">
        <f t="shared" si="9"/>
        <v>4037.608</v>
      </c>
      <c r="W126" s="13">
        <v>3262.356</v>
      </c>
      <c r="X126" s="13">
        <v>121.908</v>
      </c>
      <c r="Y126" s="13">
        <v>653.344</v>
      </c>
      <c r="Z126" s="49">
        <v>111.61</v>
      </c>
      <c r="AA126" s="49">
        <f t="shared" si="10"/>
        <v>5099.408</v>
      </c>
      <c r="AB126" s="13">
        <v>3284.247</v>
      </c>
      <c r="AC126" s="13">
        <v>1.9</v>
      </c>
      <c r="AD126" s="13">
        <v>1328.469</v>
      </c>
      <c r="AE126" s="13">
        <v>484.792</v>
      </c>
      <c r="AF126" s="49">
        <v>3242.104</v>
      </c>
      <c r="AG126" s="49">
        <v>0</v>
      </c>
      <c r="AH126" s="49">
        <v>3402.535</v>
      </c>
      <c r="AI126" s="49">
        <v>246.147</v>
      </c>
      <c r="AJ126" s="49">
        <v>5070.321</v>
      </c>
      <c r="AK126" s="49">
        <v>8205.561</v>
      </c>
      <c r="AL126" s="49">
        <v>35.707</v>
      </c>
      <c r="AM126" s="14">
        <f t="shared" si="11"/>
        <v>44533.87</v>
      </c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8"/>
      <c r="ED126" s="18"/>
      <c r="EE126" s="18"/>
      <c r="EF126" s="18"/>
      <c r="EG126" s="18"/>
      <c r="EH126" s="18"/>
      <c r="EI126" s="18"/>
      <c r="EJ126" s="18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</row>
    <row r="127" spans="1:159" s="19" customFormat="1" ht="15">
      <c r="A127" s="22">
        <v>35003</v>
      </c>
      <c r="B127" s="49">
        <f t="shared" si="6"/>
        <v>1880.561</v>
      </c>
      <c r="C127" s="13">
        <f>(390418+74877+199491+215235+315334+73539+414091)/1000</f>
        <v>1682.985</v>
      </c>
      <c r="D127" s="13">
        <f>(95573+87850)/1000</f>
        <v>183.423</v>
      </c>
      <c r="E127" s="13">
        <v>14.153</v>
      </c>
      <c r="F127" s="49">
        <v>307.38</v>
      </c>
      <c r="G127" s="49">
        <f t="shared" si="7"/>
        <v>5694.674</v>
      </c>
      <c r="H127" s="13">
        <v>486.668</v>
      </c>
      <c r="I127" s="13">
        <f>(741225+50325)/1000</f>
        <v>791.55</v>
      </c>
      <c r="J127" s="13">
        <v>629.672</v>
      </c>
      <c r="K127" s="13">
        <v>385.677</v>
      </c>
      <c r="L127" s="13">
        <v>320.039</v>
      </c>
      <c r="M127" s="13">
        <v>144.454</v>
      </c>
      <c r="N127" s="13">
        <v>584.568</v>
      </c>
      <c r="O127" s="13">
        <v>389.041</v>
      </c>
      <c r="P127" s="13">
        <v>1963.005</v>
      </c>
      <c r="Q127" s="49">
        <f t="shared" si="8"/>
        <v>6132.699</v>
      </c>
      <c r="R127" s="13">
        <v>5226.689</v>
      </c>
      <c r="S127" s="13">
        <v>431.32</v>
      </c>
      <c r="T127" s="13">
        <v>474.69</v>
      </c>
      <c r="U127" s="49">
        <v>2054.743</v>
      </c>
      <c r="V127" s="49">
        <f t="shared" si="9"/>
        <v>4152.602000000001</v>
      </c>
      <c r="W127" s="13">
        <v>3263.954</v>
      </c>
      <c r="X127" s="13">
        <v>119.856</v>
      </c>
      <c r="Y127" s="13">
        <v>768.792</v>
      </c>
      <c r="Z127" s="49">
        <v>81.421</v>
      </c>
      <c r="AA127" s="49">
        <f t="shared" si="10"/>
        <v>4990.097</v>
      </c>
      <c r="AB127" s="13">
        <v>3189.323</v>
      </c>
      <c r="AC127" s="13">
        <v>3.879</v>
      </c>
      <c r="AD127" s="13">
        <v>1310.47</v>
      </c>
      <c r="AE127" s="13">
        <v>486.425</v>
      </c>
      <c r="AF127" s="49">
        <v>3383.492</v>
      </c>
      <c r="AG127" s="49">
        <v>0</v>
      </c>
      <c r="AH127" s="49">
        <v>3731.112</v>
      </c>
      <c r="AI127" s="49">
        <v>252.892</v>
      </c>
      <c r="AJ127" s="49">
        <v>5010.028</v>
      </c>
      <c r="AK127" s="49">
        <v>8432.645</v>
      </c>
      <c r="AL127" s="49">
        <v>36.606</v>
      </c>
      <c r="AM127" s="14">
        <f t="shared" si="11"/>
        <v>46140.95199999999</v>
      </c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8"/>
      <c r="ED127" s="18"/>
      <c r="EE127" s="18"/>
      <c r="EF127" s="18"/>
      <c r="EG127" s="18"/>
      <c r="EH127" s="18"/>
      <c r="EI127" s="18"/>
      <c r="EJ127" s="18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</row>
    <row r="128" spans="1:159" s="19" customFormat="1" ht="15">
      <c r="A128" s="22">
        <v>35033</v>
      </c>
      <c r="B128" s="49">
        <f t="shared" si="6"/>
        <v>1849.1640000000002</v>
      </c>
      <c r="C128" s="13">
        <f>(255165+71927+198865+224762+307610+70505+508200)/1000</f>
        <v>1637.034</v>
      </c>
      <c r="D128" s="13">
        <f>(93646+104921)/1000</f>
        <v>198.567</v>
      </c>
      <c r="E128" s="13">
        <v>13.563</v>
      </c>
      <c r="F128" s="49">
        <v>309.254</v>
      </c>
      <c r="G128" s="49">
        <f t="shared" si="7"/>
        <v>5934.151</v>
      </c>
      <c r="H128" s="13">
        <v>488.918</v>
      </c>
      <c r="I128" s="13">
        <f>(826515+54135)/1000</f>
        <v>880.65</v>
      </c>
      <c r="J128" s="13">
        <v>595.978</v>
      </c>
      <c r="K128" s="13">
        <v>366.693</v>
      </c>
      <c r="L128" s="13">
        <v>308.949</v>
      </c>
      <c r="M128" s="13">
        <v>168.226</v>
      </c>
      <c r="N128" s="13">
        <v>617.831</v>
      </c>
      <c r="O128" s="13">
        <v>519.18</v>
      </c>
      <c r="P128" s="13">
        <v>1987.726</v>
      </c>
      <c r="Q128" s="49">
        <f t="shared" si="8"/>
        <v>6024.829000000001</v>
      </c>
      <c r="R128" s="13">
        <v>5102.804</v>
      </c>
      <c r="S128" s="13">
        <v>404.672</v>
      </c>
      <c r="T128" s="13">
        <v>517.353</v>
      </c>
      <c r="U128" s="49">
        <v>1981.099</v>
      </c>
      <c r="V128" s="49">
        <f t="shared" si="9"/>
        <v>4004.8590000000004</v>
      </c>
      <c r="W128" s="13">
        <v>3180.835</v>
      </c>
      <c r="X128" s="13">
        <v>129.641</v>
      </c>
      <c r="Y128" s="13">
        <v>694.383</v>
      </c>
      <c r="Z128" s="49">
        <v>113.303</v>
      </c>
      <c r="AA128" s="49">
        <f t="shared" si="10"/>
        <v>2694.831</v>
      </c>
      <c r="AB128" s="13">
        <v>838.024</v>
      </c>
      <c r="AC128" s="13">
        <v>3.198</v>
      </c>
      <c r="AD128" s="13">
        <v>1370.102</v>
      </c>
      <c r="AE128" s="13">
        <v>483.507</v>
      </c>
      <c r="AF128" s="49">
        <v>3623.603</v>
      </c>
      <c r="AG128" s="49">
        <v>0</v>
      </c>
      <c r="AH128" s="49">
        <v>3739.766</v>
      </c>
      <c r="AI128" s="49">
        <v>252.559</v>
      </c>
      <c r="AJ128" s="49">
        <v>5387.476</v>
      </c>
      <c r="AK128" s="49">
        <v>8792.593</v>
      </c>
      <c r="AL128" s="49">
        <v>34.022</v>
      </c>
      <c r="AM128" s="14">
        <f t="shared" si="11"/>
        <v>44741.509</v>
      </c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8"/>
      <c r="ED128" s="18"/>
      <c r="EE128" s="18"/>
      <c r="EF128" s="18"/>
      <c r="EG128" s="18"/>
      <c r="EH128" s="18"/>
      <c r="EI128" s="18"/>
      <c r="EJ128" s="18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</row>
    <row r="129" spans="1:159" s="19" customFormat="1" ht="15">
      <c r="A129" s="22">
        <v>35064</v>
      </c>
      <c r="B129" s="49">
        <f t="shared" si="6"/>
        <v>1879.0140000000001</v>
      </c>
      <c r="C129" s="13">
        <f>(267039+72570+218134+198381+280124+72480+545662)/1000</f>
        <v>1654.39</v>
      </c>
      <c r="D129" s="13">
        <f>(90834+120098)/1000</f>
        <v>210.932</v>
      </c>
      <c r="E129" s="13">
        <v>13.692</v>
      </c>
      <c r="F129" s="49">
        <v>354.053</v>
      </c>
      <c r="G129" s="49">
        <f t="shared" si="7"/>
        <v>6092.579</v>
      </c>
      <c r="H129" s="13">
        <v>651.766</v>
      </c>
      <c r="I129" s="13">
        <f>(840274+56938)/1000</f>
        <v>897.212</v>
      </c>
      <c r="J129" s="13">
        <v>665.239</v>
      </c>
      <c r="K129" s="13">
        <v>357.022</v>
      </c>
      <c r="L129" s="13">
        <v>255.116</v>
      </c>
      <c r="M129" s="13">
        <v>223.785</v>
      </c>
      <c r="N129" s="13">
        <v>708.568</v>
      </c>
      <c r="O129" s="13">
        <v>587.618</v>
      </c>
      <c r="P129" s="13">
        <v>1746.253</v>
      </c>
      <c r="Q129" s="49">
        <f t="shared" si="8"/>
        <v>5587.267</v>
      </c>
      <c r="R129" s="13">
        <v>4685.912</v>
      </c>
      <c r="S129" s="13">
        <v>418.673</v>
      </c>
      <c r="T129" s="13">
        <v>482.682</v>
      </c>
      <c r="U129" s="49">
        <v>2352.688</v>
      </c>
      <c r="V129" s="49">
        <f t="shared" si="9"/>
        <v>4399.854</v>
      </c>
      <c r="W129" s="13">
        <v>3574.943</v>
      </c>
      <c r="X129" s="13">
        <v>126.927</v>
      </c>
      <c r="Y129" s="13">
        <v>697.984</v>
      </c>
      <c r="Z129" s="49">
        <v>93.675</v>
      </c>
      <c r="AA129" s="49">
        <f t="shared" si="10"/>
        <v>3353.0419999999995</v>
      </c>
      <c r="AB129" s="13">
        <v>1266.125</v>
      </c>
      <c r="AC129" s="13">
        <v>6.001</v>
      </c>
      <c r="AD129" s="13">
        <v>1611.926</v>
      </c>
      <c r="AE129" s="13">
        <v>468.99</v>
      </c>
      <c r="AF129" s="49">
        <v>3513.743</v>
      </c>
      <c r="AG129" s="49">
        <v>0</v>
      </c>
      <c r="AH129" s="49">
        <v>3830.392</v>
      </c>
      <c r="AI129" s="49">
        <v>288.127</v>
      </c>
      <c r="AJ129" s="49">
        <v>5201.281</v>
      </c>
      <c r="AK129" s="49">
        <v>8882.398</v>
      </c>
      <c r="AL129" s="49">
        <v>36.07</v>
      </c>
      <c r="AM129" s="14">
        <f t="shared" si="11"/>
        <v>45864.183</v>
      </c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8"/>
      <c r="ED129" s="18"/>
      <c r="EE129" s="18"/>
      <c r="EF129" s="18"/>
      <c r="EG129" s="18"/>
      <c r="EH129" s="18"/>
      <c r="EI129" s="18"/>
      <c r="EJ129" s="18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</row>
    <row r="130" spans="1:159" s="19" customFormat="1" ht="15">
      <c r="A130" s="22">
        <v>35095</v>
      </c>
      <c r="B130" s="49">
        <f t="shared" si="6"/>
        <v>1840.877</v>
      </c>
      <c r="C130" s="13">
        <v>1594.597</v>
      </c>
      <c r="D130" s="13">
        <v>233.263</v>
      </c>
      <c r="E130" s="13">
        <v>13.017</v>
      </c>
      <c r="F130" s="49">
        <v>351.178</v>
      </c>
      <c r="G130" s="49">
        <f t="shared" si="7"/>
        <v>5895.370000000001</v>
      </c>
      <c r="H130" s="13">
        <v>767.275</v>
      </c>
      <c r="I130" s="13">
        <f>(824730+55801)/1000</f>
        <v>880.531</v>
      </c>
      <c r="J130" s="13">
        <v>619.718</v>
      </c>
      <c r="K130" s="13">
        <v>336.595</v>
      </c>
      <c r="L130" s="13">
        <v>324.131</v>
      </c>
      <c r="M130" s="13">
        <v>179.289</v>
      </c>
      <c r="N130" s="13">
        <v>495.302</v>
      </c>
      <c r="O130" s="13">
        <v>566.232</v>
      </c>
      <c r="P130" s="13">
        <v>1726.297</v>
      </c>
      <c r="Q130" s="49">
        <f t="shared" si="8"/>
        <v>5862.9710000000005</v>
      </c>
      <c r="R130" s="13">
        <v>4950.206</v>
      </c>
      <c r="S130" s="13">
        <v>442.924</v>
      </c>
      <c r="T130" s="13">
        <v>469.841</v>
      </c>
      <c r="U130" s="49">
        <v>2555.089</v>
      </c>
      <c r="V130" s="49">
        <f t="shared" si="9"/>
        <v>4335.049</v>
      </c>
      <c r="W130" s="13">
        <v>3497.198</v>
      </c>
      <c r="X130" s="13">
        <v>134.22</v>
      </c>
      <c r="Y130" s="13">
        <v>703.631</v>
      </c>
      <c r="Z130" s="49">
        <v>101.705</v>
      </c>
      <c r="AA130" s="49">
        <f t="shared" si="10"/>
        <v>3503.868</v>
      </c>
      <c r="AB130" s="13">
        <v>1466.117</v>
      </c>
      <c r="AC130" s="13">
        <v>3.768</v>
      </c>
      <c r="AD130" s="13">
        <v>1564.778</v>
      </c>
      <c r="AE130" s="13">
        <v>469.205</v>
      </c>
      <c r="AF130" s="49">
        <v>3358.341</v>
      </c>
      <c r="AG130" s="49">
        <v>0</v>
      </c>
      <c r="AH130" s="49">
        <v>3745.848</v>
      </c>
      <c r="AI130" s="49">
        <v>297.151</v>
      </c>
      <c r="AJ130" s="49">
        <v>5162.706</v>
      </c>
      <c r="AK130" s="49">
        <v>9259.619</v>
      </c>
      <c r="AL130" s="49">
        <v>26.157</v>
      </c>
      <c r="AM130" s="14">
        <f t="shared" si="11"/>
        <v>46295.929000000004</v>
      </c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8"/>
      <c r="ED130" s="18"/>
      <c r="EE130" s="18"/>
      <c r="EF130" s="18"/>
      <c r="EG130" s="18"/>
      <c r="EH130" s="18"/>
      <c r="EI130" s="18"/>
      <c r="EJ130" s="18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</row>
    <row r="131" spans="1:159" s="19" customFormat="1" ht="15">
      <c r="A131" s="22">
        <v>35124</v>
      </c>
      <c r="B131" s="49">
        <f t="shared" si="6"/>
        <v>2059.4790000000003</v>
      </c>
      <c r="C131" s="13">
        <v>1816.035</v>
      </c>
      <c r="D131" s="13">
        <v>229.915</v>
      </c>
      <c r="E131" s="13">
        <v>13.529</v>
      </c>
      <c r="F131" s="49">
        <v>354.572</v>
      </c>
      <c r="G131" s="49">
        <f t="shared" si="7"/>
        <v>6032.642</v>
      </c>
      <c r="H131" s="13">
        <v>838.134</v>
      </c>
      <c r="I131" s="13">
        <f>(837736+59097)/1000</f>
        <v>896.833</v>
      </c>
      <c r="J131" s="13">
        <v>628.373</v>
      </c>
      <c r="K131" s="13">
        <v>368.773</v>
      </c>
      <c r="L131" s="13">
        <v>298.777</v>
      </c>
      <c r="M131" s="13">
        <v>178.171</v>
      </c>
      <c r="N131" s="13">
        <v>529.733</v>
      </c>
      <c r="O131" s="13">
        <v>488.134</v>
      </c>
      <c r="P131" s="13">
        <v>1805.714</v>
      </c>
      <c r="Q131" s="49">
        <f t="shared" si="8"/>
        <v>6325.003999999999</v>
      </c>
      <c r="R131" s="13">
        <v>5441.882</v>
      </c>
      <c r="S131" s="13">
        <v>408.24</v>
      </c>
      <c r="T131" s="13">
        <v>474.882</v>
      </c>
      <c r="U131" s="49">
        <v>2452.821</v>
      </c>
      <c r="V131" s="49">
        <f t="shared" si="9"/>
        <v>4325.237</v>
      </c>
      <c r="W131" s="13">
        <v>3495.851</v>
      </c>
      <c r="X131" s="13">
        <v>136.029</v>
      </c>
      <c r="Y131" s="13">
        <v>693.357</v>
      </c>
      <c r="Z131" s="49">
        <v>171.313</v>
      </c>
      <c r="AA131" s="49">
        <f t="shared" si="10"/>
        <v>2730.395</v>
      </c>
      <c r="AB131" s="13">
        <v>1380.722</v>
      </c>
      <c r="AC131" s="13">
        <v>4.044</v>
      </c>
      <c r="AD131" s="13">
        <v>896.814</v>
      </c>
      <c r="AE131" s="13">
        <v>448.815</v>
      </c>
      <c r="AF131" s="49">
        <v>3568.562</v>
      </c>
      <c r="AG131" s="49">
        <v>0</v>
      </c>
      <c r="AH131" s="49">
        <v>3734.561</v>
      </c>
      <c r="AI131" s="49">
        <v>297.242</v>
      </c>
      <c r="AJ131" s="49">
        <v>5561.588</v>
      </c>
      <c r="AK131" s="49">
        <v>9673.176</v>
      </c>
      <c r="AL131" s="49">
        <v>35.232</v>
      </c>
      <c r="AM131" s="14">
        <f t="shared" si="11"/>
        <v>47321.824</v>
      </c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8"/>
      <c r="ED131" s="18"/>
      <c r="EE131" s="18"/>
      <c r="EF131" s="18"/>
      <c r="EG131" s="18"/>
      <c r="EH131" s="18"/>
      <c r="EI131" s="18"/>
      <c r="EJ131" s="18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</row>
    <row r="132" spans="1:159" s="19" customFormat="1" ht="15">
      <c r="A132" s="22">
        <v>35155</v>
      </c>
      <c r="B132" s="49">
        <f t="shared" si="6"/>
        <v>1992.007</v>
      </c>
      <c r="C132" s="13">
        <v>1738.046</v>
      </c>
      <c r="D132" s="13">
        <v>231.794</v>
      </c>
      <c r="E132" s="13">
        <v>22.167</v>
      </c>
      <c r="F132" s="49">
        <v>281.857</v>
      </c>
      <c r="G132" s="49">
        <f t="shared" si="7"/>
        <v>6259.25</v>
      </c>
      <c r="H132" s="13">
        <v>884.696</v>
      </c>
      <c r="I132" s="13">
        <v>1001.664</v>
      </c>
      <c r="J132" s="13">
        <v>650.05</v>
      </c>
      <c r="K132" s="13">
        <v>367.939</v>
      </c>
      <c r="L132" s="13">
        <v>296.938</v>
      </c>
      <c r="M132" s="13">
        <v>215.283</v>
      </c>
      <c r="N132" s="13">
        <v>511.481</v>
      </c>
      <c r="O132" s="13">
        <v>450.862</v>
      </c>
      <c r="P132" s="13">
        <v>1880.337</v>
      </c>
      <c r="Q132" s="49">
        <f t="shared" si="8"/>
        <v>7211.808</v>
      </c>
      <c r="R132" s="13">
        <v>6190.661</v>
      </c>
      <c r="S132" s="13">
        <v>614.086</v>
      </c>
      <c r="T132" s="13">
        <v>407.061</v>
      </c>
      <c r="U132" s="49">
        <v>2762.341</v>
      </c>
      <c r="V132" s="49">
        <f t="shared" si="9"/>
        <v>4219.590999999999</v>
      </c>
      <c r="W132" s="13">
        <v>3299.421</v>
      </c>
      <c r="X132" s="13">
        <v>139.87</v>
      </c>
      <c r="Y132" s="13">
        <v>780.3</v>
      </c>
      <c r="Z132" s="49">
        <v>338.253</v>
      </c>
      <c r="AA132" s="49">
        <f t="shared" si="10"/>
        <v>3084.638</v>
      </c>
      <c r="AB132" s="13">
        <v>690.594</v>
      </c>
      <c r="AC132" s="13">
        <v>6.045</v>
      </c>
      <c r="AD132" s="13">
        <v>1836.577</v>
      </c>
      <c r="AE132" s="13">
        <v>551.422</v>
      </c>
      <c r="AF132" s="49">
        <v>3776.41</v>
      </c>
      <c r="AG132" s="49">
        <v>0</v>
      </c>
      <c r="AH132" s="49">
        <v>3612.397</v>
      </c>
      <c r="AI132" s="49">
        <v>297.104</v>
      </c>
      <c r="AJ132" s="49">
        <v>5620.908</v>
      </c>
      <c r="AK132" s="49">
        <v>9479.61</v>
      </c>
      <c r="AL132" s="49">
        <v>27.56</v>
      </c>
      <c r="AM132" s="14">
        <f t="shared" si="11"/>
        <v>48963.734</v>
      </c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8"/>
      <c r="ED132" s="18"/>
      <c r="EE132" s="18"/>
      <c r="EF132" s="18"/>
      <c r="EG132" s="18"/>
      <c r="EH132" s="18"/>
      <c r="EI132" s="18"/>
      <c r="EJ132" s="18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</row>
    <row r="133" spans="1:159" s="19" customFormat="1" ht="15">
      <c r="A133" s="22">
        <v>35185</v>
      </c>
      <c r="B133" s="49">
        <f t="shared" si="6"/>
        <v>2158.47</v>
      </c>
      <c r="C133" s="13">
        <v>1857.966</v>
      </c>
      <c r="D133" s="13">
        <v>283.988</v>
      </c>
      <c r="E133" s="13">
        <v>16.516</v>
      </c>
      <c r="F133" s="49">
        <v>319.443</v>
      </c>
      <c r="G133" s="49">
        <f t="shared" si="7"/>
        <v>5366.281999999999</v>
      </c>
      <c r="H133" s="13">
        <v>519.711</v>
      </c>
      <c r="I133" s="13">
        <v>919.209</v>
      </c>
      <c r="J133" s="13">
        <v>609.59</v>
      </c>
      <c r="K133" s="13">
        <v>363.999</v>
      </c>
      <c r="L133" s="13">
        <v>285.751</v>
      </c>
      <c r="M133" s="13">
        <v>149.914</v>
      </c>
      <c r="N133" s="13">
        <v>462.874</v>
      </c>
      <c r="O133" s="13">
        <v>386.21</v>
      </c>
      <c r="P133" s="13">
        <v>1669.024</v>
      </c>
      <c r="Q133" s="49">
        <f t="shared" si="8"/>
        <v>6448.538</v>
      </c>
      <c r="R133" s="13">
        <v>5456.601</v>
      </c>
      <c r="S133" s="13">
        <v>592.733</v>
      </c>
      <c r="T133" s="13">
        <v>399.204</v>
      </c>
      <c r="U133" s="49">
        <v>2161.593</v>
      </c>
      <c r="V133" s="49">
        <f t="shared" si="9"/>
        <v>4160.603</v>
      </c>
      <c r="W133" s="13">
        <v>3281.582</v>
      </c>
      <c r="X133" s="13">
        <v>73.08</v>
      </c>
      <c r="Y133" s="13">
        <v>805.941</v>
      </c>
      <c r="Z133" s="49">
        <v>101.298</v>
      </c>
      <c r="AA133" s="49">
        <f t="shared" si="10"/>
        <v>2693.7459999999996</v>
      </c>
      <c r="AB133" s="13">
        <v>346.261</v>
      </c>
      <c r="AC133" s="13">
        <v>9.86</v>
      </c>
      <c r="AD133" s="13">
        <v>1795.753</v>
      </c>
      <c r="AE133" s="13">
        <v>541.872</v>
      </c>
      <c r="AF133" s="49">
        <v>3964.433</v>
      </c>
      <c r="AG133" s="49">
        <v>0</v>
      </c>
      <c r="AH133" s="49">
        <v>3805.553</v>
      </c>
      <c r="AI133" s="49">
        <v>305.088</v>
      </c>
      <c r="AJ133" s="49">
        <v>5906.8</v>
      </c>
      <c r="AK133" s="49">
        <v>9338.927</v>
      </c>
      <c r="AL133" s="49">
        <v>55.994</v>
      </c>
      <c r="AM133" s="14">
        <f t="shared" si="11"/>
        <v>46786.76799999999</v>
      </c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8"/>
      <c r="ED133" s="18"/>
      <c r="EE133" s="18"/>
      <c r="EF133" s="18"/>
      <c r="EG133" s="18"/>
      <c r="EH133" s="18"/>
      <c r="EI133" s="18"/>
      <c r="EJ133" s="18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</row>
    <row r="134" spans="1:159" s="19" customFormat="1" ht="15">
      <c r="A134" s="22">
        <v>35216</v>
      </c>
      <c r="B134" s="49">
        <f t="shared" si="6"/>
        <v>2148.223</v>
      </c>
      <c r="C134" s="13">
        <v>1859.799</v>
      </c>
      <c r="D134" s="13">
        <v>275.83</v>
      </c>
      <c r="E134" s="13">
        <v>12.594</v>
      </c>
      <c r="F134" s="49">
        <v>288.273</v>
      </c>
      <c r="G134" s="49">
        <f t="shared" si="7"/>
        <v>5351.932000000001</v>
      </c>
      <c r="H134" s="13">
        <v>358.18</v>
      </c>
      <c r="I134" s="13">
        <v>1049.566</v>
      </c>
      <c r="J134" s="13">
        <v>626.722</v>
      </c>
      <c r="K134" s="13">
        <v>379.36</v>
      </c>
      <c r="L134" s="13">
        <v>269.272</v>
      </c>
      <c r="M134" s="13">
        <v>203.646</v>
      </c>
      <c r="N134" s="13">
        <v>504.836</v>
      </c>
      <c r="O134" s="13">
        <v>410.035</v>
      </c>
      <c r="P134" s="13">
        <v>1550.315</v>
      </c>
      <c r="Q134" s="49">
        <f t="shared" si="8"/>
        <v>6449.143999999999</v>
      </c>
      <c r="R134" s="13">
        <v>5448.73</v>
      </c>
      <c r="S134" s="13">
        <v>615.59</v>
      </c>
      <c r="T134" s="13">
        <v>384.824</v>
      </c>
      <c r="U134" s="49">
        <v>2102.116</v>
      </c>
      <c r="V134" s="49">
        <f t="shared" si="9"/>
        <v>4234.635</v>
      </c>
      <c r="W134" s="13">
        <v>3345.83</v>
      </c>
      <c r="X134" s="13">
        <v>79.949</v>
      </c>
      <c r="Y134" s="13">
        <v>808.856</v>
      </c>
      <c r="Z134" s="49">
        <v>91.364</v>
      </c>
      <c r="AA134" s="49">
        <f t="shared" si="10"/>
        <v>2328.101</v>
      </c>
      <c r="AB134" s="13">
        <v>274.165</v>
      </c>
      <c r="AC134" s="13">
        <v>4.162</v>
      </c>
      <c r="AD134" s="13">
        <v>1506.538</v>
      </c>
      <c r="AE134" s="13">
        <v>543.236</v>
      </c>
      <c r="AF134" s="49">
        <v>3785.854</v>
      </c>
      <c r="AG134" s="49">
        <v>0</v>
      </c>
      <c r="AH134" s="49">
        <v>4149.001</v>
      </c>
      <c r="AI134" s="49">
        <v>290.565</v>
      </c>
      <c r="AJ134" s="49">
        <v>5950.257</v>
      </c>
      <c r="AK134" s="49">
        <v>9772.641</v>
      </c>
      <c r="AL134" s="49">
        <v>75.915</v>
      </c>
      <c r="AM134" s="14">
        <f t="shared" si="11"/>
        <v>47018.021</v>
      </c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8"/>
      <c r="ED134" s="18"/>
      <c r="EE134" s="18"/>
      <c r="EF134" s="18"/>
      <c r="EG134" s="18"/>
      <c r="EH134" s="18"/>
      <c r="EI134" s="18"/>
      <c r="EJ134" s="18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</row>
    <row r="135" spans="1:159" s="19" customFormat="1" ht="15">
      <c r="A135" s="22">
        <v>35246</v>
      </c>
      <c r="B135" s="49">
        <f t="shared" si="6"/>
        <v>2350.205</v>
      </c>
      <c r="C135" s="13">
        <v>2053.721</v>
      </c>
      <c r="D135" s="13">
        <v>277.759</v>
      </c>
      <c r="E135" s="13">
        <v>18.725</v>
      </c>
      <c r="F135" s="49">
        <v>303.339</v>
      </c>
      <c r="G135" s="49">
        <f t="shared" si="7"/>
        <v>6261.603999999999</v>
      </c>
      <c r="H135" s="13">
        <v>592.032</v>
      </c>
      <c r="I135" s="13">
        <v>1020.866</v>
      </c>
      <c r="J135" s="13">
        <v>644.372</v>
      </c>
      <c r="K135" s="13">
        <v>392.303</v>
      </c>
      <c r="L135" s="13">
        <v>280.312</v>
      </c>
      <c r="M135" s="13">
        <v>215.364</v>
      </c>
      <c r="N135" s="13">
        <v>634.767</v>
      </c>
      <c r="O135" s="13">
        <v>625.346</v>
      </c>
      <c r="P135" s="13">
        <v>1856.242</v>
      </c>
      <c r="Q135" s="49">
        <f t="shared" si="8"/>
        <v>4377.087</v>
      </c>
      <c r="R135" s="13">
        <v>3343.326</v>
      </c>
      <c r="S135" s="13">
        <v>656.467</v>
      </c>
      <c r="T135" s="13">
        <v>377.294</v>
      </c>
      <c r="U135" s="49">
        <v>1876.395</v>
      </c>
      <c r="V135" s="49">
        <f t="shared" si="9"/>
        <v>4208.925</v>
      </c>
      <c r="W135" s="13">
        <v>3347.81</v>
      </c>
      <c r="X135" s="13">
        <v>464.414</v>
      </c>
      <c r="Y135" s="13">
        <v>396.701</v>
      </c>
      <c r="Z135" s="49">
        <v>108.271</v>
      </c>
      <c r="AA135" s="49">
        <f t="shared" si="10"/>
        <v>2714.0110000000004</v>
      </c>
      <c r="AB135" s="13">
        <v>618.086</v>
      </c>
      <c r="AC135" s="13">
        <v>3.705</v>
      </c>
      <c r="AD135" s="13">
        <v>1561.141</v>
      </c>
      <c r="AE135" s="13">
        <v>531.079</v>
      </c>
      <c r="AF135" s="49">
        <v>3817.951</v>
      </c>
      <c r="AG135" s="49">
        <v>0</v>
      </c>
      <c r="AH135" s="49">
        <v>4038.949</v>
      </c>
      <c r="AI135" s="49">
        <v>286.615</v>
      </c>
      <c r="AJ135" s="49">
        <v>6156.506</v>
      </c>
      <c r="AK135" s="49">
        <v>9985.811</v>
      </c>
      <c r="AL135" s="49">
        <v>46.592</v>
      </c>
      <c r="AM135" s="14">
        <f t="shared" si="11"/>
        <v>46532.261</v>
      </c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8"/>
      <c r="ED135" s="18"/>
      <c r="EE135" s="18"/>
      <c r="EF135" s="18"/>
      <c r="EG135" s="18"/>
      <c r="EH135" s="18"/>
      <c r="EI135" s="18"/>
      <c r="EJ135" s="18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</row>
    <row r="136" spans="1:159" s="19" customFormat="1" ht="15">
      <c r="A136" s="22">
        <v>35277</v>
      </c>
      <c r="B136" s="49">
        <f t="shared" si="6"/>
        <v>2456.425</v>
      </c>
      <c r="C136" s="13">
        <v>2175.775</v>
      </c>
      <c r="D136" s="13">
        <v>270.386</v>
      </c>
      <c r="E136" s="13">
        <v>10.264</v>
      </c>
      <c r="F136" s="49">
        <v>318.13</v>
      </c>
      <c r="G136" s="49">
        <f t="shared" si="7"/>
        <v>5912.939</v>
      </c>
      <c r="H136" s="13">
        <v>389.523</v>
      </c>
      <c r="I136" s="13">
        <v>1063.472</v>
      </c>
      <c r="J136" s="13">
        <v>644.125</v>
      </c>
      <c r="K136" s="13">
        <v>410.877</v>
      </c>
      <c r="L136" s="13">
        <v>297.457</v>
      </c>
      <c r="M136" s="13">
        <v>211.868</v>
      </c>
      <c r="N136" s="13">
        <v>652.636</v>
      </c>
      <c r="O136" s="13">
        <v>502.965</v>
      </c>
      <c r="P136" s="13">
        <v>1740.016</v>
      </c>
      <c r="Q136" s="49">
        <f t="shared" si="8"/>
        <v>5111.515</v>
      </c>
      <c r="R136" s="13">
        <v>4058.28</v>
      </c>
      <c r="S136" s="13">
        <v>676.614</v>
      </c>
      <c r="T136" s="13">
        <v>376.621</v>
      </c>
      <c r="U136" s="49">
        <v>3679.806</v>
      </c>
      <c r="V136" s="49">
        <f t="shared" si="9"/>
        <v>3780.7549999999997</v>
      </c>
      <c r="W136" s="13">
        <v>3578.136</v>
      </c>
      <c r="X136" s="13">
        <v>56.169</v>
      </c>
      <c r="Y136" s="13">
        <v>146.45</v>
      </c>
      <c r="Z136" s="49">
        <v>130.675</v>
      </c>
      <c r="AA136" s="49">
        <f t="shared" si="10"/>
        <v>5871.986</v>
      </c>
      <c r="AB136" s="13">
        <v>3593.7</v>
      </c>
      <c r="AC136" s="13">
        <v>3.884</v>
      </c>
      <c r="AD136" s="13">
        <v>1743.87</v>
      </c>
      <c r="AE136" s="13">
        <v>530.532</v>
      </c>
      <c r="AF136" s="49">
        <v>4057.297</v>
      </c>
      <c r="AG136" s="49">
        <v>0</v>
      </c>
      <c r="AH136" s="49">
        <v>4114.344</v>
      </c>
      <c r="AI136" s="49">
        <v>278.454</v>
      </c>
      <c r="AJ136" s="49">
        <v>6334.898</v>
      </c>
      <c r="AK136" s="49">
        <v>10386.57</v>
      </c>
      <c r="AL136" s="49">
        <v>39.612</v>
      </c>
      <c r="AM136" s="14">
        <f t="shared" si="11"/>
        <v>52473.406</v>
      </c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8"/>
      <c r="ED136" s="18"/>
      <c r="EE136" s="18"/>
      <c r="EF136" s="18"/>
      <c r="EG136" s="18"/>
      <c r="EH136" s="18"/>
      <c r="EI136" s="18"/>
      <c r="EJ136" s="18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</row>
    <row r="137" spans="1:159" s="19" customFormat="1" ht="15">
      <c r="A137" s="22">
        <v>35308</v>
      </c>
      <c r="B137" s="49">
        <f t="shared" si="6"/>
        <v>2292.533</v>
      </c>
      <c r="C137" s="13">
        <v>1992.911</v>
      </c>
      <c r="D137" s="13">
        <v>289.979</v>
      </c>
      <c r="E137" s="13">
        <v>9.643</v>
      </c>
      <c r="F137" s="49">
        <v>308.308</v>
      </c>
      <c r="G137" s="49">
        <f t="shared" si="7"/>
        <v>6107.598999999999</v>
      </c>
      <c r="H137" s="13">
        <v>542.63</v>
      </c>
      <c r="I137" s="13">
        <v>1064.398</v>
      </c>
      <c r="J137" s="13">
        <v>640.653</v>
      </c>
      <c r="K137" s="13">
        <v>385.754</v>
      </c>
      <c r="L137" s="13">
        <v>339.762</v>
      </c>
      <c r="M137" s="13">
        <v>207.759</v>
      </c>
      <c r="N137" s="13">
        <v>697.635</v>
      </c>
      <c r="O137" s="13">
        <v>512.889</v>
      </c>
      <c r="P137" s="13">
        <v>1716.119</v>
      </c>
      <c r="Q137" s="49">
        <f t="shared" si="8"/>
        <v>5017.204</v>
      </c>
      <c r="R137" s="13">
        <v>4006.212</v>
      </c>
      <c r="S137" s="13">
        <v>628.777</v>
      </c>
      <c r="T137" s="13">
        <v>382.215</v>
      </c>
      <c r="U137" s="49">
        <v>3128.145</v>
      </c>
      <c r="V137" s="49">
        <f t="shared" si="9"/>
        <v>3747.334</v>
      </c>
      <c r="W137" s="13">
        <v>3536.399</v>
      </c>
      <c r="X137" s="13">
        <v>68.278</v>
      </c>
      <c r="Y137" s="13">
        <v>142.657</v>
      </c>
      <c r="Z137" s="49">
        <v>116.332</v>
      </c>
      <c r="AA137" s="49">
        <f t="shared" si="10"/>
        <v>5831.532999999999</v>
      </c>
      <c r="AB137" s="13">
        <v>3564.394</v>
      </c>
      <c r="AC137" s="13">
        <v>1.533</v>
      </c>
      <c r="AD137" s="13">
        <v>1730.326</v>
      </c>
      <c r="AE137" s="13">
        <v>535.28</v>
      </c>
      <c r="AF137" s="49">
        <v>4152.468</v>
      </c>
      <c r="AG137" s="49">
        <v>0</v>
      </c>
      <c r="AH137" s="49">
        <v>3950.687</v>
      </c>
      <c r="AI137" s="49">
        <v>278.195</v>
      </c>
      <c r="AJ137" s="49">
        <v>7105.678</v>
      </c>
      <c r="AK137" s="49">
        <v>11338.86</v>
      </c>
      <c r="AL137" s="49">
        <v>34.945</v>
      </c>
      <c r="AM137" s="14">
        <f t="shared" si="11"/>
        <v>53409.820999999996</v>
      </c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8"/>
      <c r="ED137" s="18"/>
      <c r="EE137" s="18"/>
      <c r="EF137" s="18"/>
      <c r="EG137" s="18"/>
      <c r="EH137" s="18"/>
      <c r="EI137" s="18"/>
      <c r="EJ137" s="18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</row>
    <row r="138" spans="1:159" s="19" customFormat="1" ht="15">
      <c r="A138" s="22">
        <v>35338</v>
      </c>
      <c r="B138" s="49">
        <f t="shared" si="6"/>
        <v>2224.3289999999997</v>
      </c>
      <c r="C138" s="13">
        <v>1955.657</v>
      </c>
      <c r="D138" s="13">
        <v>253.014</v>
      </c>
      <c r="E138" s="13">
        <v>15.658</v>
      </c>
      <c r="F138" s="49">
        <v>345.158</v>
      </c>
      <c r="G138" s="49">
        <f t="shared" si="7"/>
        <v>5993.749999999999</v>
      </c>
      <c r="H138" s="13">
        <v>725.024</v>
      </c>
      <c r="I138" s="13">
        <v>974.011</v>
      </c>
      <c r="J138" s="13">
        <v>605.542</v>
      </c>
      <c r="K138" s="13">
        <v>400.951</v>
      </c>
      <c r="L138" s="13">
        <v>307.062</v>
      </c>
      <c r="M138" s="13">
        <v>169.317</v>
      </c>
      <c r="N138" s="13">
        <v>678.66</v>
      </c>
      <c r="O138" s="13">
        <v>460.616</v>
      </c>
      <c r="P138" s="13">
        <v>1672.567</v>
      </c>
      <c r="Q138" s="49">
        <f t="shared" si="8"/>
        <v>5127.860000000001</v>
      </c>
      <c r="R138" s="13">
        <v>4156.542</v>
      </c>
      <c r="S138" s="13">
        <v>557.305</v>
      </c>
      <c r="T138" s="13">
        <v>414.013</v>
      </c>
      <c r="U138" s="49">
        <v>3204.644</v>
      </c>
      <c r="V138" s="49">
        <f t="shared" si="9"/>
        <v>3615.8089999999997</v>
      </c>
      <c r="W138" s="13">
        <v>3430.374</v>
      </c>
      <c r="X138" s="13">
        <v>42.87</v>
      </c>
      <c r="Y138" s="13">
        <v>142.565</v>
      </c>
      <c r="Z138" s="49">
        <v>114.822</v>
      </c>
      <c r="AA138" s="49">
        <f t="shared" si="10"/>
        <v>5678.633</v>
      </c>
      <c r="AB138" s="13">
        <v>3565.589</v>
      </c>
      <c r="AC138" s="13">
        <v>1.869</v>
      </c>
      <c r="AD138" s="13">
        <v>1657.751</v>
      </c>
      <c r="AE138" s="13">
        <v>453.424</v>
      </c>
      <c r="AF138" s="49">
        <v>4011.117</v>
      </c>
      <c r="AG138" s="49">
        <v>0</v>
      </c>
      <c r="AH138" s="49">
        <v>4220.878</v>
      </c>
      <c r="AI138" s="49">
        <v>291.838</v>
      </c>
      <c r="AJ138" s="49">
        <v>7355.651</v>
      </c>
      <c r="AK138" s="49">
        <v>11020.684</v>
      </c>
      <c r="AL138" s="49">
        <v>84.478</v>
      </c>
      <c r="AM138" s="14">
        <f t="shared" si="11"/>
        <v>53289.651</v>
      </c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8"/>
      <c r="ED138" s="18"/>
      <c r="EE138" s="18"/>
      <c r="EF138" s="18"/>
      <c r="EG138" s="18"/>
      <c r="EH138" s="18"/>
      <c r="EI138" s="18"/>
      <c r="EJ138" s="18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</row>
    <row r="139" spans="1:159" s="19" customFormat="1" ht="15">
      <c r="A139" s="22">
        <v>35369</v>
      </c>
      <c r="B139" s="49">
        <f t="shared" si="6"/>
        <v>2385.036</v>
      </c>
      <c r="C139" s="13">
        <v>2069.21</v>
      </c>
      <c r="D139" s="13">
        <v>305.971</v>
      </c>
      <c r="E139" s="13">
        <v>9.855</v>
      </c>
      <c r="F139" s="49">
        <v>291.136</v>
      </c>
      <c r="G139" s="49">
        <f t="shared" si="7"/>
        <v>6666.186</v>
      </c>
      <c r="H139" s="13">
        <v>850.696</v>
      </c>
      <c r="I139" s="13">
        <v>1051.076</v>
      </c>
      <c r="J139" s="13">
        <v>634.298</v>
      </c>
      <c r="K139" s="13">
        <v>426.488</v>
      </c>
      <c r="L139" s="13">
        <v>282.552</v>
      </c>
      <c r="M139" s="13">
        <v>233.757</v>
      </c>
      <c r="N139" s="13">
        <v>815.661</v>
      </c>
      <c r="O139" s="13">
        <v>456.622</v>
      </c>
      <c r="P139" s="13">
        <v>1915.036</v>
      </c>
      <c r="Q139" s="49">
        <f t="shared" si="8"/>
        <v>4967.124</v>
      </c>
      <c r="R139" s="13">
        <v>4026.506</v>
      </c>
      <c r="S139" s="13">
        <v>525.134</v>
      </c>
      <c r="T139" s="13">
        <v>415.484</v>
      </c>
      <c r="U139" s="49">
        <v>3792.059</v>
      </c>
      <c r="V139" s="49">
        <f t="shared" si="9"/>
        <v>3468.947</v>
      </c>
      <c r="W139" s="13">
        <v>3281.725</v>
      </c>
      <c r="X139" s="13">
        <v>48.913</v>
      </c>
      <c r="Y139" s="13">
        <v>138.309</v>
      </c>
      <c r="Z139" s="49">
        <v>108.548</v>
      </c>
      <c r="AA139" s="49">
        <f t="shared" si="10"/>
        <v>5549.340999999999</v>
      </c>
      <c r="AB139" s="13">
        <v>3471.776</v>
      </c>
      <c r="AC139" s="13">
        <v>1.168</v>
      </c>
      <c r="AD139" s="13">
        <v>1667.438</v>
      </c>
      <c r="AE139" s="13">
        <v>408.959</v>
      </c>
      <c r="AF139" s="49">
        <v>4352.722</v>
      </c>
      <c r="AG139" s="49">
        <v>0</v>
      </c>
      <c r="AH139" s="49">
        <v>4463.982</v>
      </c>
      <c r="AI139" s="49">
        <v>285.494</v>
      </c>
      <c r="AJ139" s="49">
        <v>7075.803</v>
      </c>
      <c r="AK139" s="49">
        <v>12555.748</v>
      </c>
      <c r="AL139" s="49">
        <v>49.095</v>
      </c>
      <c r="AM139" s="14">
        <f t="shared" si="11"/>
        <v>56011.221000000005</v>
      </c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8"/>
      <c r="ED139" s="18"/>
      <c r="EE139" s="18"/>
      <c r="EF139" s="18"/>
      <c r="EG139" s="18"/>
      <c r="EH139" s="18"/>
      <c r="EI139" s="18"/>
      <c r="EJ139" s="18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</row>
    <row r="140" spans="1:159" s="19" customFormat="1" ht="15">
      <c r="A140" s="22">
        <v>35399</v>
      </c>
      <c r="B140" s="49">
        <f t="shared" si="6"/>
        <v>2246.703</v>
      </c>
      <c r="C140" s="13">
        <v>1923.063</v>
      </c>
      <c r="D140" s="13">
        <v>313.651</v>
      </c>
      <c r="E140" s="13">
        <v>9.989</v>
      </c>
      <c r="F140" s="49">
        <v>301.249</v>
      </c>
      <c r="G140" s="49">
        <f t="shared" si="7"/>
        <v>7059.200999999999</v>
      </c>
      <c r="H140" s="13">
        <v>930.906</v>
      </c>
      <c r="I140" s="13">
        <v>1113.296</v>
      </c>
      <c r="J140" s="13">
        <v>634.313</v>
      </c>
      <c r="K140" s="13">
        <v>429.057</v>
      </c>
      <c r="L140" s="13">
        <v>308.69</v>
      </c>
      <c r="M140" s="13">
        <v>234.103</v>
      </c>
      <c r="N140" s="13">
        <v>875.518</v>
      </c>
      <c r="O140" s="13">
        <v>460.223</v>
      </c>
      <c r="P140" s="13">
        <v>2073.095</v>
      </c>
      <c r="Q140" s="49">
        <f t="shared" si="8"/>
        <v>4890.337</v>
      </c>
      <c r="R140" s="13">
        <v>4084.786</v>
      </c>
      <c r="S140" s="13">
        <v>413.015</v>
      </c>
      <c r="T140" s="13">
        <v>392.536</v>
      </c>
      <c r="U140" s="49">
        <v>4420.529</v>
      </c>
      <c r="V140" s="49">
        <f t="shared" si="9"/>
        <v>3727.709</v>
      </c>
      <c r="W140" s="13">
        <v>3533.017</v>
      </c>
      <c r="X140" s="13">
        <v>47.461</v>
      </c>
      <c r="Y140" s="13">
        <v>147.231</v>
      </c>
      <c r="Z140" s="49">
        <v>98.342</v>
      </c>
      <c r="AA140" s="49">
        <f t="shared" si="10"/>
        <v>5426.95</v>
      </c>
      <c r="AB140" s="13">
        <v>3439.349</v>
      </c>
      <c r="AC140" s="13">
        <v>4.093</v>
      </c>
      <c r="AD140" s="13">
        <v>1557.773</v>
      </c>
      <c r="AE140" s="13">
        <v>425.735</v>
      </c>
      <c r="AF140" s="49">
        <v>4297.219</v>
      </c>
      <c r="AG140" s="49">
        <v>0</v>
      </c>
      <c r="AH140" s="49">
        <v>4654.66</v>
      </c>
      <c r="AI140" s="49">
        <v>285.736</v>
      </c>
      <c r="AJ140" s="49">
        <v>6316.274</v>
      </c>
      <c r="AK140" s="49">
        <v>12434.01</v>
      </c>
      <c r="AL140" s="49">
        <v>74.974</v>
      </c>
      <c r="AM140" s="14">
        <f t="shared" si="11"/>
        <v>56233.893000000004</v>
      </c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8"/>
      <c r="ED140" s="18"/>
      <c r="EE140" s="18"/>
      <c r="EF140" s="18"/>
      <c r="EG140" s="18"/>
      <c r="EH140" s="18"/>
      <c r="EI140" s="18"/>
      <c r="EJ140" s="18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</row>
    <row r="141" spans="1:159" s="19" customFormat="1" ht="15">
      <c r="A141" s="22">
        <v>35430</v>
      </c>
      <c r="B141" s="49">
        <f aca="true" t="shared" si="12" ref="B141:B204">SUM(C141:E141)</f>
        <v>2247.806</v>
      </c>
      <c r="C141" s="13">
        <v>1929.402</v>
      </c>
      <c r="D141" s="13">
        <v>308.962</v>
      </c>
      <c r="E141" s="13">
        <v>9.442</v>
      </c>
      <c r="F141" s="49">
        <v>320.729</v>
      </c>
      <c r="G141" s="49">
        <f aca="true" t="shared" si="13" ref="G141:G204">SUM(H141:P141)</f>
        <v>7310.51</v>
      </c>
      <c r="H141" s="13">
        <v>968.567</v>
      </c>
      <c r="I141" s="13">
        <v>1037.49</v>
      </c>
      <c r="J141" s="13">
        <v>628.809</v>
      </c>
      <c r="K141" s="13">
        <v>663.868</v>
      </c>
      <c r="L141" s="13">
        <v>321.349</v>
      </c>
      <c r="M141" s="13">
        <v>158.163</v>
      </c>
      <c r="N141" s="13">
        <v>1089.28</v>
      </c>
      <c r="O141" s="13">
        <v>402.291</v>
      </c>
      <c r="P141" s="13">
        <v>2040.693</v>
      </c>
      <c r="Q141" s="49">
        <f aca="true" t="shared" si="14" ref="Q141:Q204">SUM(R141:T141)</f>
        <v>4692.016999999999</v>
      </c>
      <c r="R141" s="13">
        <v>3758.796</v>
      </c>
      <c r="S141" s="13">
        <v>542.665</v>
      </c>
      <c r="T141" s="13">
        <v>390.556</v>
      </c>
      <c r="U141" s="49">
        <v>4310.664</v>
      </c>
      <c r="V141" s="49">
        <f aca="true" t="shared" si="15" ref="V141:V204">SUM(W141:Y141)</f>
        <v>0</v>
      </c>
      <c r="W141" s="13" t="s">
        <v>29</v>
      </c>
      <c r="X141" s="13" t="s">
        <v>29</v>
      </c>
      <c r="Y141" s="13" t="s">
        <v>29</v>
      </c>
      <c r="Z141" s="49">
        <v>224.921</v>
      </c>
      <c r="AA141" s="49">
        <f aca="true" t="shared" si="16" ref="AA141:AA204">SUM(AB141:AE141)</f>
        <v>5237.423000000001</v>
      </c>
      <c r="AB141" s="13">
        <v>3272.343</v>
      </c>
      <c r="AC141" s="13">
        <v>2.338</v>
      </c>
      <c r="AD141" s="13">
        <v>1555.182</v>
      </c>
      <c r="AE141" s="13">
        <v>407.56</v>
      </c>
      <c r="AF141" s="49">
        <v>4034.542</v>
      </c>
      <c r="AG141" s="49">
        <v>0</v>
      </c>
      <c r="AH141" s="49">
        <v>4682.199</v>
      </c>
      <c r="AI141" s="49">
        <v>258.787</v>
      </c>
      <c r="AJ141" s="49">
        <v>6142.816</v>
      </c>
      <c r="AK141" s="49">
        <v>11207.78</v>
      </c>
      <c r="AL141" s="49">
        <v>82.539</v>
      </c>
      <c r="AM141" s="14">
        <f aca="true" t="shared" si="17" ref="AM141:AM204">+B141+F141+G141+Q141+U141+V141+Z141+AA141+AF141+AH141+AI141+AJ141+AK141+AL141+AG141</f>
        <v>50752.73299999999</v>
      </c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8"/>
      <c r="ED141" s="18"/>
      <c r="EE141" s="18"/>
      <c r="EF141" s="18"/>
      <c r="EG141" s="18"/>
      <c r="EH141" s="18"/>
      <c r="EI141" s="18"/>
      <c r="EJ141" s="18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</row>
    <row r="142" spans="1:159" s="19" customFormat="1" ht="15">
      <c r="A142" s="22">
        <v>35461</v>
      </c>
      <c r="B142" s="49">
        <f t="shared" si="12"/>
        <v>2355.089</v>
      </c>
      <c r="C142" s="13">
        <v>2026.202</v>
      </c>
      <c r="D142" s="13">
        <v>310.352</v>
      </c>
      <c r="E142" s="13">
        <v>18.535</v>
      </c>
      <c r="F142" s="49">
        <v>320.311</v>
      </c>
      <c r="G142" s="49">
        <f t="shared" si="13"/>
        <v>6927.661</v>
      </c>
      <c r="H142" s="13">
        <v>1010.669</v>
      </c>
      <c r="I142" s="13">
        <v>1051.356</v>
      </c>
      <c r="J142" s="13">
        <v>637.321</v>
      </c>
      <c r="K142" s="13">
        <v>418.317</v>
      </c>
      <c r="L142" s="13">
        <v>267.487</v>
      </c>
      <c r="M142" s="13">
        <v>149.439</v>
      </c>
      <c r="N142" s="13">
        <v>973.322</v>
      </c>
      <c r="O142" s="13">
        <v>479.58</v>
      </c>
      <c r="P142" s="13">
        <v>1940.17</v>
      </c>
      <c r="Q142" s="49">
        <f t="shared" si="14"/>
        <v>4601.621</v>
      </c>
      <c r="R142" s="13">
        <v>3795.076</v>
      </c>
      <c r="S142" s="13">
        <v>429.419</v>
      </c>
      <c r="T142" s="13">
        <v>377.126</v>
      </c>
      <c r="U142" s="49">
        <v>5847.504</v>
      </c>
      <c r="V142" s="49">
        <f t="shared" si="15"/>
        <v>0</v>
      </c>
      <c r="W142" s="13" t="s">
        <v>29</v>
      </c>
      <c r="X142" s="13" t="s">
        <v>29</v>
      </c>
      <c r="Y142" s="13" t="s">
        <v>29</v>
      </c>
      <c r="Z142" s="49">
        <v>310.052</v>
      </c>
      <c r="AA142" s="49">
        <f t="shared" si="16"/>
        <v>5118.1720000000005</v>
      </c>
      <c r="AB142" s="13">
        <v>3259.949</v>
      </c>
      <c r="AC142" s="13">
        <v>3.991</v>
      </c>
      <c r="AD142" s="13">
        <v>1460.616</v>
      </c>
      <c r="AE142" s="13">
        <v>393.616</v>
      </c>
      <c r="AF142" s="49">
        <v>3957.743</v>
      </c>
      <c r="AG142" s="49">
        <v>0</v>
      </c>
      <c r="AH142" s="49">
        <v>4539.026</v>
      </c>
      <c r="AI142" s="49">
        <v>265.647</v>
      </c>
      <c r="AJ142" s="49">
        <v>6336.838</v>
      </c>
      <c r="AK142" s="49">
        <v>11674.186</v>
      </c>
      <c r="AL142" s="49">
        <v>68.179</v>
      </c>
      <c r="AM142" s="14">
        <f t="shared" si="17"/>
        <v>52322.029</v>
      </c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8"/>
      <c r="ED142" s="18"/>
      <c r="EE142" s="18"/>
      <c r="EF142" s="18"/>
      <c r="EG142" s="18"/>
      <c r="EH142" s="18"/>
      <c r="EI142" s="18"/>
      <c r="EJ142" s="18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</row>
    <row r="143" spans="1:159" s="19" customFormat="1" ht="15">
      <c r="A143" s="22">
        <v>35489</v>
      </c>
      <c r="B143" s="49">
        <f t="shared" si="12"/>
        <v>2357.164</v>
      </c>
      <c r="C143" s="13">
        <v>2038.048</v>
      </c>
      <c r="D143" s="13">
        <v>300.718</v>
      </c>
      <c r="E143" s="13">
        <v>18.398</v>
      </c>
      <c r="F143" s="49">
        <v>309.283</v>
      </c>
      <c r="G143" s="49">
        <f t="shared" si="13"/>
        <v>6779.743</v>
      </c>
      <c r="H143" s="13">
        <v>1013.26</v>
      </c>
      <c r="I143" s="13">
        <v>1073.497</v>
      </c>
      <c r="J143" s="13">
        <v>618.666</v>
      </c>
      <c r="K143" s="13">
        <v>363.668</v>
      </c>
      <c r="L143" s="13">
        <v>261.238</v>
      </c>
      <c r="M143" s="13">
        <v>188.041</v>
      </c>
      <c r="N143" s="13">
        <v>922.876</v>
      </c>
      <c r="O143" s="13">
        <v>290.437</v>
      </c>
      <c r="P143" s="13">
        <v>2048.06</v>
      </c>
      <c r="Q143" s="49">
        <f t="shared" si="14"/>
        <v>4934.557</v>
      </c>
      <c r="R143" s="13">
        <v>3791.615</v>
      </c>
      <c r="S143" s="13">
        <v>757.919</v>
      </c>
      <c r="T143" s="13">
        <v>385.023</v>
      </c>
      <c r="U143" s="49">
        <v>9534.234</v>
      </c>
      <c r="V143" s="49">
        <f t="shared" si="15"/>
        <v>4243.5779999999995</v>
      </c>
      <c r="W143" s="13">
        <v>4051.801</v>
      </c>
      <c r="X143" s="13">
        <v>62.354</v>
      </c>
      <c r="Y143" s="13">
        <v>129.423</v>
      </c>
      <c r="Z143" s="49">
        <v>163.75</v>
      </c>
      <c r="AA143" s="49">
        <f t="shared" si="16"/>
        <v>5020.828</v>
      </c>
      <c r="AB143" s="13">
        <v>3246.823</v>
      </c>
      <c r="AC143" s="13">
        <v>2.569</v>
      </c>
      <c r="AD143" s="13">
        <v>1372.702</v>
      </c>
      <c r="AE143" s="13">
        <v>398.734</v>
      </c>
      <c r="AF143" s="49">
        <v>3915.438</v>
      </c>
      <c r="AG143" s="49">
        <v>0</v>
      </c>
      <c r="AH143" s="49">
        <v>4378.006</v>
      </c>
      <c r="AI143" s="49">
        <v>289.573</v>
      </c>
      <c r="AJ143" s="49">
        <v>7072.347</v>
      </c>
      <c r="AK143" s="49">
        <v>11118.527</v>
      </c>
      <c r="AL143" s="49">
        <v>63.262</v>
      </c>
      <c r="AM143" s="14">
        <f t="shared" si="17"/>
        <v>60180.29000000001</v>
      </c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8"/>
      <c r="ED143" s="18"/>
      <c r="EE143" s="18"/>
      <c r="EF143" s="18"/>
      <c r="EG143" s="18"/>
      <c r="EH143" s="18"/>
      <c r="EI143" s="18"/>
      <c r="EJ143" s="18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</row>
    <row r="144" spans="1:159" s="19" customFormat="1" ht="15">
      <c r="A144" s="22">
        <v>35520</v>
      </c>
      <c r="B144" s="49">
        <f t="shared" si="12"/>
        <v>2626.8759999999997</v>
      </c>
      <c r="C144" s="13">
        <v>2338.66</v>
      </c>
      <c r="D144" s="13">
        <v>270.15</v>
      </c>
      <c r="E144" s="13">
        <v>18.066</v>
      </c>
      <c r="F144" s="49">
        <v>276.733</v>
      </c>
      <c r="G144" s="49">
        <f t="shared" si="13"/>
        <v>6755.706999999999</v>
      </c>
      <c r="H144" s="13">
        <v>1003.566</v>
      </c>
      <c r="I144" s="13">
        <v>1211.738</v>
      </c>
      <c r="J144" s="13">
        <v>560.9</v>
      </c>
      <c r="K144" s="13">
        <v>298.504</v>
      </c>
      <c r="L144" s="13">
        <v>236.92</v>
      </c>
      <c r="M144" s="13">
        <v>211.405</v>
      </c>
      <c r="N144" s="13">
        <v>861.386</v>
      </c>
      <c r="O144" s="13">
        <v>317.007</v>
      </c>
      <c r="P144" s="13">
        <v>2054.281</v>
      </c>
      <c r="Q144" s="49">
        <f t="shared" si="14"/>
        <v>4464.523</v>
      </c>
      <c r="R144" s="13">
        <v>3672.625</v>
      </c>
      <c r="S144" s="13">
        <v>419.062</v>
      </c>
      <c r="T144" s="13">
        <v>372.836</v>
      </c>
      <c r="U144" s="49">
        <v>15164.739</v>
      </c>
      <c r="V144" s="49">
        <f t="shared" si="15"/>
        <v>4379.481</v>
      </c>
      <c r="W144" s="13">
        <v>4240.206</v>
      </c>
      <c r="X144" s="13">
        <v>24.661</v>
      </c>
      <c r="Y144" s="13">
        <v>114.614</v>
      </c>
      <c r="Z144" s="49">
        <v>172.617</v>
      </c>
      <c r="AA144" s="49">
        <f t="shared" si="16"/>
        <v>5208.677</v>
      </c>
      <c r="AB144" s="13">
        <v>3251.211</v>
      </c>
      <c r="AC144" s="13">
        <v>2.324</v>
      </c>
      <c r="AD144" s="13">
        <v>1566.245</v>
      </c>
      <c r="AE144" s="13">
        <v>388.897</v>
      </c>
      <c r="AF144" s="49">
        <v>3947.875</v>
      </c>
      <c r="AG144" s="49">
        <v>0</v>
      </c>
      <c r="AH144" s="49">
        <v>4105.286</v>
      </c>
      <c r="AI144" s="49">
        <v>230.648</v>
      </c>
      <c r="AJ144" s="49">
        <v>8227.384</v>
      </c>
      <c r="AK144" s="49">
        <v>11488.247</v>
      </c>
      <c r="AL144" s="49">
        <v>72.472</v>
      </c>
      <c r="AM144" s="14">
        <f t="shared" si="17"/>
        <v>67121.265</v>
      </c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8"/>
      <c r="ED144" s="18"/>
      <c r="EE144" s="18"/>
      <c r="EF144" s="18"/>
      <c r="EG144" s="18"/>
      <c r="EH144" s="18"/>
      <c r="EI144" s="18"/>
      <c r="EJ144" s="18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</row>
    <row r="145" spans="1:159" s="19" customFormat="1" ht="15">
      <c r="A145" s="22">
        <v>35550</v>
      </c>
      <c r="B145" s="49">
        <f t="shared" si="12"/>
        <v>2594.497</v>
      </c>
      <c r="C145" s="13">
        <v>2307.459</v>
      </c>
      <c r="D145" s="13">
        <v>269.078</v>
      </c>
      <c r="E145" s="13">
        <v>17.96</v>
      </c>
      <c r="F145" s="49">
        <v>262.84</v>
      </c>
      <c r="G145" s="49">
        <f t="shared" si="13"/>
        <v>6883.776</v>
      </c>
      <c r="H145" s="13">
        <v>1125.82</v>
      </c>
      <c r="I145" s="13">
        <v>1132.582</v>
      </c>
      <c r="J145" s="13">
        <v>557.882</v>
      </c>
      <c r="K145" s="13">
        <v>299.597</v>
      </c>
      <c r="L145" s="13">
        <v>224.188</v>
      </c>
      <c r="M145" s="13">
        <v>128.79</v>
      </c>
      <c r="N145" s="13">
        <v>1021.036</v>
      </c>
      <c r="O145" s="13">
        <v>290.254</v>
      </c>
      <c r="P145" s="13">
        <v>2103.627</v>
      </c>
      <c r="Q145" s="49">
        <f t="shared" si="14"/>
        <v>4597.553</v>
      </c>
      <c r="R145" s="13">
        <v>3706.067</v>
      </c>
      <c r="S145" s="13">
        <v>524.377</v>
      </c>
      <c r="T145" s="13">
        <v>367.109</v>
      </c>
      <c r="U145" s="49">
        <v>16725.974</v>
      </c>
      <c r="V145" s="49">
        <f t="shared" si="15"/>
        <v>4285.814</v>
      </c>
      <c r="W145" s="13">
        <v>4147.349</v>
      </c>
      <c r="X145" s="13">
        <v>16.669</v>
      </c>
      <c r="Y145" s="13">
        <v>121.796</v>
      </c>
      <c r="Z145" s="49">
        <v>164.907</v>
      </c>
      <c r="AA145" s="49">
        <f t="shared" si="16"/>
        <v>4466.446</v>
      </c>
      <c r="AB145" s="13">
        <v>2436.307</v>
      </c>
      <c r="AC145" s="13">
        <v>0.506</v>
      </c>
      <c r="AD145" s="13">
        <v>1540.312</v>
      </c>
      <c r="AE145" s="13">
        <v>489.321</v>
      </c>
      <c r="AF145" s="49">
        <v>4191.926</v>
      </c>
      <c r="AG145" s="49">
        <v>0</v>
      </c>
      <c r="AH145" s="49">
        <v>3744.083</v>
      </c>
      <c r="AI145" s="49">
        <v>194.148</v>
      </c>
      <c r="AJ145" s="49">
        <v>7613.211</v>
      </c>
      <c r="AK145" s="49">
        <v>11158.509</v>
      </c>
      <c r="AL145" s="49">
        <v>71.304</v>
      </c>
      <c r="AM145" s="14">
        <f t="shared" si="17"/>
        <v>66954.98800000001</v>
      </c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8"/>
      <c r="ED145" s="18"/>
      <c r="EE145" s="18"/>
      <c r="EF145" s="18"/>
      <c r="EG145" s="18"/>
      <c r="EH145" s="18"/>
      <c r="EI145" s="18"/>
      <c r="EJ145" s="18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</row>
    <row r="146" spans="1:159" s="19" customFormat="1" ht="15">
      <c r="A146" s="22">
        <v>35581</v>
      </c>
      <c r="B146" s="49">
        <f t="shared" si="12"/>
        <v>2558.148</v>
      </c>
      <c r="C146" s="13">
        <v>2265.179</v>
      </c>
      <c r="D146" s="13">
        <v>284.242</v>
      </c>
      <c r="E146" s="13">
        <v>8.727</v>
      </c>
      <c r="F146" s="49">
        <v>237.314</v>
      </c>
      <c r="G146" s="49">
        <f t="shared" si="13"/>
        <v>7084.487999999999</v>
      </c>
      <c r="H146" s="13">
        <v>1117.741</v>
      </c>
      <c r="I146" s="13">
        <v>1196.887</v>
      </c>
      <c r="J146" s="13">
        <v>566.468</v>
      </c>
      <c r="K146" s="13">
        <v>281.416</v>
      </c>
      <c r="L146" s="13">
        <v>262.231</v>
      </c>
      <c r="M146" s="13">
        <v>164.506</v>
      </c>
      <c r="N146" s="13">
        <v>1004.929</v>
      </c>
      <c r="O146" s="13">
        <v>302.268</v>
      </c>
      <c r="P146" s="13">
        <v>2188.042</v>
      </c>
      <c r="Q146" s="49">
        <f t="shared" si="14"/>
        <v>4611.3099999999995</v>
      </c>
      <c r="R146" s="13">
        <v>3713.918</v>
      </c>
      <c r="S146" s="13">
        <v>545.872</v>
      </c>
      <c r="T146" s="13">
        <v>351.52</v>
      </c>
      <c r="U146" s="49">
        <v>17860.963</v>
      </c>
      <c r="V146" s="49">
        <f t="shared" si="15"/>
        <v>4264.329</v>
      </c>
      <c r="W146" s="13">
        <v>4135.119</v>
      </c>
      <c r="X146" s="13">
        <v>20.892</v>
      </c>
      <c r="Y146" s="13">
        <v>108.318</v>
      </c>
      <c r="Z146" s="49">
        <v>156.008</v>
      </c>
      <c r="AA146" s="49">
        <f t="shared" si="16"/>
        <v>4420.004</v>
      </c>
      <c r="AB146" s="13">
        <v>2432.075</v>
      </c>
      <c r="AC146" s="13">
        <v>1.834</v>
      </c>
      <c r="AD146" s="13">
        <v>1493.781</v>
      </c>
      <c r="AE146" s="13">
        <v>492.314</v>
      </c>
      <c r="AF146" s="49">
        <v>4032.182</v>
      </c>
      <c r="AG146" s="49">
        <v>0</v>
      </c>
      <c r="AH146" s="49">
        <v>3757.764</v>
      </c>
      <c r="AI146" s="49">
        <v>203.834</v>
      </c>
      <c r="AJ146" s="49">
        <v>8273.38</v>
      </c>
      <c r="AK146" s="49">
        <v>11209.702</v>
      </c>
      <c r="AL146" s="49">
        <v>68.422</v>
      </c>
      <c r="AM146" s="14">
        <f t="shared" si="17"/>
        <v>68737.84800000001</v>
      </c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8"/>
      <c r="ED146" s="18"/>
      <c r="EE146" s="18"/>
      <c r="EF146" s="18"/>
      <c r="EG146" s="18"/>
      <c r="EH146" s="18"/>
      <c r="EI146" s="18"/>
      <c r="EJ146" s="18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</row>
    <row r="147" spans="1:159" s="19" customFormat="1" ht="15">
      <c r="A147" s="22">
        <v>35611</v>
      </c>
      <c r="B147" s="49">
        <f t="shared" si="12"/>
        <v>2633.266</v>
      </c>
      <c r="C147" s="13">
        <v>2360.013</v>
      </c>
      <c r="D147" s="13">
        <v>263.989</v>
      </c>
      <c r="E147" s="13">
        <v>9.264</v>
      </c>
      <c r="F147" s="49">
        <v>231.1</v>
      </c>
      <c r="G147" s="49">
        <f t="shared" si="13"/>
        <v>7047.022</v>
      </c>
      <c r="H147" s="13">
        <v>1198.501</v>
      </c>
      <c r="I147" s="13">
        <v>1067.076</v>
      </c>
      <c r="J147" s="13">
        <v>548.543</v>
      </c>
      <c r="K147" s="13">
        <v>253.362</v>
      </c>
      <c r="L147" s="13">
        <v>263.112</v>
      </c>
      <c r="M147" s="13">
        <v>124.624</v>
      </c>
      <c r="N147" s="13">
        <v>990.36</v>
      </c>
      <c r="O147" s="13">
        <v>279.19</v>
      </c>
      <c r="P147" s="13">
        <v>2322.254</v>
      </c>
      <c r="Q147" s="49">
        <f t="shared" si="14"/>
        <v>4675.739</v>
      </c>
      <c r="R147" s="13">
        <v>3775.551</v>
      </c>
      <c r="S147" s="13">
        <v>557.725</v>
      </c>
      <c r="T147" s="13">
        <v>342.463</v>
      </c>
      <c r="U147" s="49">
        <v>4563.947</v>
      </c>
      <c r="V147" s="49">
        <f t="shared" si="15"/>
        <v>4110.507</v>
      </c>
      <c r="W147" s="13">
        <v>3980.877</v>
      </c>
      <c r="X147" s="13">
        <v>25.008</v>
      </c>
      <c r="Y147" s="13">
        <v>104.622</v>
      </c>
      <c r="Z147" s="49">
        <v>92.138</v>
      </c>
      <c r="AA147" s="49">
        <f t="shared" si="16"/>
        <v>4454.4439999999995</v>
      </c>
      <c r="AB147" s="13">
        <v>2309.352</v>
      </c>
      <c r="AC147" s="13">
        <v>1.659</v>
      </c>
      <c r="AD147" s="13">
        <v>1619.569</v>
      </c>
      <c r="AE147" s="13">
        <v>523.864</v>
      </c>
      <c r="AF147" s="49">
        <v>3947.993</v>
      </c>
      <c r="AG147" s="49">
        <v>0</v>
      </c>
      <c r="AH147" s="49">
        <v>3904.349</v>
      </c>
      <c r="AI147" s="49">
        <v>219.466</v>
      </c>
      <c r="AJ147" s="49">
        <v>8034.017</v>
      </c>
      <c r="AK147" s="49">
        <v>11436.217</v>
      </c>
      <c r="AL147" s="49">
        <v>71.982</v>
      </c>
      <c r="AM147" s="14">
        <f t="shared" si="17"/>
        <v>55422.187000000005</v>
      </c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8"/>
      <c r="ED147" s="18"/>
      <c r="EE147" s="18"/>
      <c r="EF147" s="18"/>
      <c r="EG147" s="18"/>
      <c r="EH147" s="18"/>
      <c r="EI147" s="18"/>
      <c r="EJ147" s="18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</row>
    <row r="148" spans="1:159" s="19" customFormat="1" ht="15">
      <c r="A148" s="22">
        <v>35642</v>
      </c>
      <c r="B148" s="49">
        <f t="shared" si="12"/>
        <v>2669.235</v>
      </c>
      <c r="C148" s="13">
        <v>2384.409</v>
      </c>
      <c r="D148" s="13">
        <v>275.714</v>
      </c>
      <c r="E148" s="13">
        <v>9.112</v>
      </c>
      <c r="F148" s="49">
        <v>249.214</v>
      </c>
      <c r="G148" s="49">
        <f t="shared" si="13"/>
        <v>6847.221</v>
      </c>
      <c r="H148" s="13">
        <v>1222.282</v>
      </c>
      <c r="I148" s="13">
        <v>1670.719</v>
      </c>
      <c r="J148" s="13">
        <v>545.684</v>
      </c>
      <c r="K148" s="13">
        <v>276.53</v>
      </c>
      <c r="L148" s="13">
        <v>271.499</v>
      </c>
      <c r="M148" s="13">
        <v>120.494</v>
      </c>
      <c r="N148" s="13">
        <v>920.003</v>
      </c>
      <c r="O148" s="13">
        <v>273.493</v>
      </c>
      <c r="P148" s="13">
        <v>1546.517</v>
      </c>
      <c r="Q148" s="49">
        <f t="shared" si="14"/>
        <v>4523.87</v>
      </c>
      <c r="R148" s="13">
        <v>3579.328</v>
      </c>
      <c r="S148" s="13">
        <v>602.291</v>
      </c>
      <c r="T148" s="13">
        <v>342.251</v>
      </c>
      <c r="U148" s="49">
        <v>3950.013</v>
      </c>
      <c r="V148" s="49">
        <f t="shared" si="15"/>
        <v>4066.024</v>
      </c>
      <c r="W148" s="13">
        <v>3936.987</v>
      </c>
      <c r="X148" s="13">
        <v>20.754</v>
      </c>
      <c r="Y148" s="13">
        <v>108.283</v>
      </c>
      <c r="Z148" s="49">
        <v>66.828</v>
      </c>
      <c r="AA148" s="49">
        <f t="shared" si="16"/>
        <v>4475.876</v>
      </c>
      <c r="AB148" s="13">
        <v>2290.017</v>
      </c>
      <c r="AC148" s="13">
        <v>2.089</v>
      </c>
      <c r="AD148" s="13">
        <v>1647.393</v>
      </c>
      <c r="AE148" s="13">
        <v>536.377</v>
      </c>
      <c r="AF148" s="49">
        <v>4946.551</v>
      </c>
      <c r="AG148" s="49">
        <v>0</v>
      </c>
      <c r="AH148" s="49">
        <v>3989.381</v>
      </c>
      <c r="AI148" s="49">
        <v>217.403</v>
      </c>
      <c r="AJ148" s="49">
        <v>7815.876</v>
      </c>
      <c r="AK148" s="49">
        <v>11389.846</v>
      </c>
      <c r="AL148" s="49">
        <v>74.443</v>
      </c>
      <c r="AM148" s="14">
        <f t="shared" si="17"/>
        <v>55281.780999999995</v>
      </c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8"/>
      <c r="ED148" s="18"/>
      <c r="EE148" s="18"/>
      <c r="EF148" s="18"/>
      <c r="EG148" s="18"/>
      <c r="EH148" s="18"/>
      <c r="EI148" s="18"/>
      <c r="EJ148" s="18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</row>
    <row r="149" spans="1:159" s="19" customFormat="1" ht="15">
      <c r="A149" s="22">
        <v>35673</v>
      </c>
      <c r="B149" s="49">
        <f t="shared" si="12"/>
        <v>2640.415</v>
      </c>
      <c r="C149" s="13">
        <v>2347.813</v>
      </c>
      <c r="D149" s="13">
        <v>283.411</v>
      </c>
      <c r="E149" s="13">
        <v>9.191</v>
      </c>
      <c r="F149" s="49">
        <v>238.684</v>
      </c>
      <c r="G149" s="49">
        <f t="shared" si="13"/>
        <v>7330.531000000001</v>
      </c>
      <c r="H149" s="13">
        <v>1408.969</v>
      </c>
      <c r="I149" s="13">
        <v>1738.207</v>
      </c>
      <c r="J149" s="13">
        <v>555.535</v>
      </c>
      <c r="K149" s="13">
        <v>287.052</v>
      </c>
      <c r="L149" s="13">
        <v>285.054</v>
      </c>
      <c r="M149" s="13">
        <v>118.573</v>
      </c>
      <c r="N149" s="13">
        <v>911.072</v>
      </c>
      <c r="O149" s="13">
        <v>288.165</v>
      </c>
      <c r="P149" s="13">
        <v>1737.904</v>
      </c>
      <c r="Q149" s="49">
        <f t="shared" si="14"/>
        <v>4559.868</v>
      </c>
      <c r="R149" s="13">
        <v>3565.232</v>
      </c>
      <c r="S149" s="13">
        <v>655.118</v>
      </c>
      <c r="T149" s="13">
        <v>339.518</v>
      </c>
      <c r="U149" s="49">
        <v>6255.165</v>
      </c>
      <c r="V149" s="49">
        <f t="shared" si="15"/>
        <v>4078.849</v>
      </c>
      <c r="W149" s="13">
        <v>3947.783</v>
      </c>
      <c r="X149" s="13">
        <v>14.507</v>
      </c>
      <c r="Y149" s="13">
        <v>116.559</v>
      </c>
      <c r="Z149" s="49">
        <v>68.309</v>
      </c>
      <c r="AA149" s="49">
        <f t="shared" si="16"/>
        <v>5659.196</v>
      </c>
      <c r="AB149" s="13">
        <v>3537.993</v>
      </c>
      <c r="AC149" s="13">
        <v>1.856</v>
      </c>
      <c r="AD149" s="13">
        <v>1576.855</v>
      </c>
      <c r="AE149" s="13">
        <v>542.492</v>
      </c>
      <c r="AF149" s="49">
        <v>3828.869</v>
      </c>
      <c r="AG149" s="49">
        <v>0</v>
      </c>
      <c r="AH149" s="49">
        <v>4053.942</v>
      </c>
      <c r="AI149" s="49">
        <v>226.495</v>
      </c>
      <c r="AJ149" s="49">
        <v>7899.843</v>
      </c>
      <c r="AK149" s="49">
        <v>11789.471</v>
      </c>
      <c r="AL149" s="49">
        <v>82.568</v>
      </c>
      <c r="AM149" s="14">
        <f t="shared" si="17"/>
        <v>58712.20500000001</v>
      </c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8"/>
      <c r="ED149" s="18"/>
      <c r="EE149" s="18"/>
      <c r="EF149" s="18"/>
      <c r="EG149" s="18"/>
      <c r="EH149" s="18"/>
      <c r="EI149" s="18"/>
      <c r="EJ149" s="18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</row>
    <row r="150" spans="1:159" s="19" customFormat="1" ht="15">
      <c r="A150" s="22">
        <v>35703</v>
      </c>
      <c r="B150" s="49">
        <f t="shared" si="12"/>
        <v>2784.074</v>
      </c>
      <c r="C150" s="13">
        <v>2521.199</v>
      </c>
      <c r="D150" s="13">
        <v>254.074</v>
      </c>
      <c r="E150" s="13">
        <v>8.801</v>
      </c>
      <c r="F150" s="49">
        <v>227.107</v>
      </c>
      <c r="G150" s="49">
        <f t="shared" si="13"/>
        <v>6228.8150000000005</v>
      </c>
      <c r="H150" s="13">
        <v>1206.721</v>
      </c>
      <c r="I150" s="13">
        <v>1061.875</v>
      </c>
      <c r="J150" s="13">
        <v>159.269</v>
      </c>
      <c r="K150" s="13">
        <v>269.712</v>
      </c>
      <c r="L150" s="13">
        <v>235.965</v>
      </c>
      <c r="M150" s="13">
        <v>114.627</v>
      </c>
      <c r="N150" s="13">
        <v>890.687</v>
      </c>
      <c r="O150" s="13">
        <v>284.626</v>
      </c>
      <c r="P150" s="13">
        <v>2005.333</v>
      </c>
      <c r="Q150" s="49">
        <f t="shared" si="14"/>
        <v>4304.516</v>
      </c>
      <c r="R150" s="13">
        <v>3436.531</v>
      </c>
      <c r="S150" s="13">
        <v>562.473</v>
      </c>
      <c r="T150" s="13">
        <v>305.512</v>
      </c>
      <c r="U150" s="49">
        <v>4757.446</v>
      </c>
      <c r="V150" s="49">
        <f t="shared" si="15"/>
        <v>3898.172</v>
      </c>
      <c r="W150" s="13">
        <v>3791.509</v>
      </c>
      <c r="X150" s="13">
        <v>15.136</v>
      </c>
      <c r="Y150" s="13">
        <v>91.527</v>
      </c>
      <c r="Z150" s="49">
        <v>72.668</v>
      </c>
      <c r="AA150" s="49">
        <f t="shared" si="16"/>
        <v>6962.548000000001</v>
      </c>
      <c r="AB150" s="13">
        <v>4788.115</v>
      </c>
      <c r="AC150" s="13">
        <v>2.741</v>
      </c>
      <c r="AD150" s="13">
        <v>1537.333</v>
      </c>
      <c r="AE150" s="13">
        <v>634.359</v>
      </c>
      <c r="AF150" s="49">
        <v>4624.688</v>
      </c>
      <c r="AG150" s="49">
        <v>0</v>
      </c>
      <c r="AH150" s="49">
        <v>4420.702</v>
      </c>
      <c r="AI150" s="49">
        <v>217.322</v>
      </c>
      <c r="AJ150" s="49">
        <v>8575.731</v>
      </c>
      <c r="AK150" s="49">
        <v>11396.412</v>
      </c>
      <c r="AL150" s="49">
        <v>76.733</v>
      </c>
      <c r="AM150" s="14">
        <f t="shared" si="17"/>
        <v>58546.934</v>
      </c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8"/>
      <c r="ED150" s="18"/>
      <c r="EE150" s="18"/>
      <c r="EF150" s="18"/>
      <c r="EG150" s="18"/>
      <c r="EH150" s="18"/>
      <c r="EI150" s="18"/>
      <c r="EJ150" s="18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</row>
    <row r="151" spans="1:159" s="19" customFormat="1" ht="15">
      <c r="A151" s="22">
        <v>35734</v>
      </c>
      <c r="B151" s="49">
        <f t="shared" si="12"/>
        <v>2486.1780000000003</v>
      </c>
      <c r="C151" s="13">
        <v>2194.73</v>
      </c>
      <c r="D151" s="13">
        <v>282.505</v>
      </c>
      <c r="E151" s="13">
        <v>8.943</v>
      </c>
      <c r="F151" s="49">
        <v>224.256</v>
      </c>
      <c r="G151" s="49">
        <f t="shared" si="13"/>
        <v>6110.346</v>
      </c>
      <c r="H151" s="13">
        <v>1256.237</v>
      </c>
      <c r="I151" s="13">
        <v>930.673</v>
      </c>
      <c r="J151" s="13">
        <v>142.183</v>
      </c>
      <c r="K151" s="13">
        <v>241.042</v>
      </c>
      <c r="L151" s="13">
        <v>266.512</v>
      </c>
      <c r="M151" s="13">
        <v>124.347</v>
      </c>
      <c r="N151" s="13">
        <v>863.01</v>
      </c>
      <c r="O151" s="13">
        <v>267.436</v>
      </c>
      <c r="P151" s="13">
        <v>2018.906</v>
      </c>
      <c r="Q151" s="49">
        <f t="shared" si="14"/>
        <v>4327.187</v>
      </c>
      <c r="R151" s="13">
        <v>3397.599</v>
      </c>
      <c r="S151" s="13">
        <v>643.515</v>
      </c>
      <c r="T151" s="13">
        <v>286.073</v>
      </c>
      <c r="U151" s="49">
        <v>6530.383</v>
      </c>
      <c r="V151" s="49">
        <f t="shared" si="15"/>
        <v>3998.021</v>
      </c>
      <c r="W151" s="13">
        <v>3897.378</v>
      </c>
      <c r="X151" s="13">
        <v>8.756</v>
      </c>
      <c r="Y151" s="13">
        <v>91.887</v>
      </c>
      <c r="Z151" s="49">
        <v>79.991</v>
      </c>
      <c r="AA151" s="49">
        <f t="shared" si="16"/>
        <v>7077.027</v>
      </c>
      <c r="AB151" s="13">
        <v>4787.865</v>
      </c>
      <c r="AC151" s="13">
        <v>1.268</v>
      </c>
      <c r="AD151" s="13">
        <v>1543.736</v>
      </c>
      <c r="AE151" s="13">
        <v>744.158</v>
      </c>
      <c r="AF151" s="49">
        <v>4549.329</v>
      </c>
      <c r="AG151" s="49">
        <v>0</v>
      </c>
      <c r="AH151" s="49">
        <v>4446.329</v>
      </c>
      <c r="AI151" s="49">
        <v>216.947</v>
      </c>
      <c r="AJ151" s="49">
        <v>7431.173</v>
      </c>
      <c r="AK151" s="49">
        <v>11958.254</v>
      </c>
      <c r="AL151" s="49">
        <v>71.469</v>
      </c>
      <c r="AM151" s="14">
        <f t="shared" si="17"/>
        <v>59506.89</v>
      </c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8"/>
      <c r="ED151" s="18"/>
      <c r="EE151" s="18"/>
      <c r="EF151" s="18"/>
      <c r="EG151" s="18"/>
      <c r="EH151" s="18"/>
      <c r="EI151" s="18"/>
      <c r="EJ151" s="18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</row>
    <row r="152" spans="1:159" s="19" customFormat="1" ht="15">
      <c r="A152" s="22">
        <v>35764</v>
      </c>
      <c r="B152" s="49">
        <f t="shared" si="12"/>
        <v>2883.294</v>
      </c>
      <c r="C152" s="13">
        <v>2643.912</v>
      </c>
      <c r="D152" s="13">
        <v>230.922</v>
      </c>
      <c r="E152" s="13">
        <v>8.46</v>
      </c>
      <c r="F152" s="49">
        <v>198.919</v>
      </c>
      <c r="G152" s="49">
        <f t="shared" si="13"/>
        <v>5926.869</v>
      </c>
      <c r="H152" s="13">
        <v>1269.414</v>
      </c>
      <c r="I152" s="13">
        <v>889.414</v>
      </c>
      <c r="J152" s="13">
        <v>129.861</v>
      </c>
      <c r="K152" s="13">
        <v>226.668</v>
      </c>
      <c r="L152" s="13">
        <v>252.345</v>
      </c>
      <c r="M152" s="13">
        <v>129.329</v>
      </c>
      <c r="N152" s="13">
        <v>882.477</v>
      </c>
      <c r="O152" s="13">
        <v>225.458</v>
      </c>
      <c r="P152" s="13">
        <v>1921.903</v>
      </c>
      <c r="Q152" s="49">
        <f t="shared" si="14"/>
        <v>4164.511</v>
      </c>
      <c r="R152" s="13">
        <v>3241.398</v>
      </c>
      <c r="S152" s="13">
        <v>646.234</v>
      </c>
      <c r="T152" s="13">
        <v>276.879</v>
      </c>
      <c r="U152" s="49">
        <v>6378.866</v>
      </c>
      <c r="V152" s="49">
        <f t="shared" si="15"/>
        <v>3979.1440000000002</v>
      </c>
      <c r="W152" s="13">
        <v>3873.733</v>
      </c>
      <c r="X152" s="13">
        <v>11.024</v>
      </c>
      <c r="Y152" s="13">
        <v>94.387</v>
      </c>
      <c r="Z152" s="49">
        <v>68.828</v>
      </c>
      <c r="AA152" s="49">
        <f t="shared" si="16"/>
        <v>7061.431000000001</v>
      </c>
      <c r="AB152" s="13">
        <v>4427.127</v>
      </c>
      <c r="AC152" s="13">
        <v>2.475</v>
      </c>
      <c r="AD152" s="13">
        <v>1496.922</v>
      </c>
      <c r="AE152" s="13">
        <v>1134.907</v>
      </c>
      <c r="AF152" s="49">
        <v>3889.843</v>
      </c>
      <c r="AG152" s="49">
        <v>0</v>
      </c>
      <c r="AH152" s="49">
        <v>4438.608</v>
      </c>
      <c r="AI152" s="49">
        <v>220.26</v>
      </c>
      <c r="AJ152" s="49">
        <v>7484.381</v>
      </c>
      <c r="AK152" s="49">
        <v>11439.099</v>
      </c>
      <c r="AL152" s="49">
        <v>94.415</v>
      </c>
      <c r="AM152" s="14">
        <f t="shared" si="17"/>
        <v>58228.46800000001</v>
      </c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8"/>
      <c r="ED152" s="18"/>
      <c r="EE152" s="18"/>
      <c r="EF152" s="18"/>
      <c r="EG152" s="18"/>
      <c r="EH152" s="18"/>
      <c r="EI152" s="18"/>
      <c r="EJ152" s="18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</row>
    <row r="153" spans="1:159" s="19" customFormat="1" ht="15">
      <c r="A153" s="22">
        <v>35795</v>
      </c>
      <c r="B153" s="49">
        <f t="shared" si="12"/>
        <v>2541.335</v>
      </c>
      <c r="C153" s="13">
        <v>2295.471</v>
      </c>
      <c r="D153" s="13">
        <v>237.663</v>
      </c>
      <c r="E153" s="13">
        <v>8.201</v>
      </c>
      <c r="F153" s="49">
        <v>245.63</v>
      </c>
      <c r="G153" s="49">
        <f t="shared" si="13"/>
        <v>5898.599999999999</v>
      </c>
      <c r="H153" s="13">
        <v>1342.068</v>
      </c>
      <c r="I153" s="13">
        <v>952.773</v>
      </c>
      <c r="J153" s="13">
        <v>186.964</v>
      </c>
      <c r="K153" s="13">
        <v>200.776</v>
      </c>
      <c r="L153" s="13">
        <v>214.712</v>
      </c>
      <c r="M153" s="13">
        <v>130.162</v>
      </c>
      <c r="N153" s="13">
        <v>534.255</v>
      </c>
      <c r="O153" s="13">
        <v>291.161</v>
      </c>
      <c r="P153" s="13">
        <v>2045.729</v>
      </c>
      <c r="Q153" s="49">
        <f t="shared" si="14"/>
        <v>4070.143</v>
      </c>
      <c r="R153" s="13">
        <v>3274.206</v>
      </c>
      <c r="S153" s="13">
        <v>538.249</v>
      </c>
      <c r="T153" s="13">
        <v>257.688</v>
      </c>
      <c r="U153" s="49">
        <v>7009.782</v>
      </c>
      <c r="V153" s="49">
        <f t="shared" si="15"/>
        <v>3845.809</v>
      </c>
      <c r="W153" s="13">
        <v>3742.322</v>
      </c>
      <c r="X153" s="13">
        <v>8.73</v>
      </c>
      <c r="Y153" s="13">
        <v>94.757</v>
      </c>
      <c r="Z153" s="49">
        <v>96.382</v>
      </c>
      <c r="AA153" s="49">
        <f t="shared" si="16"/>
        <v>8736.346</v>
      </c>
      <c r="AB153" s="13">
        <v>5407.314</v>
      </c>
      <c r="AC153" s="13">
        <v>3.323</v>
      </c>
      <c r="AD153" s="13">
        <v>1906.141</v>
      </c>
      <c r="AE153" s="13">
        <v>1419.568</v>
      </c>
      <c r="AF153" s="49">
        <v>3751.922</v>
      </c>
      <c r="AG153" s="49">
        <v>0</v>
      </c>
      <c r="AH153" s="49">
        <v>4335.951</v>
      </c>
      <c r="AI153" s="49">
        <v>213.95</v>
      </c>
      <c r="AJ153" s="49">
        <v>7070.507</v>
      </c>
      <c r="AK153" s="49">
        <v>11453.938</v>
      </c>
      <c r="AL153" s="49">
        <v>71.826</v>
      </c>
      <c r="AM153" s="14">
        <f t="shared" si="17"/>
        <v>59342.121</v>
      </c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8"/>
      <c r="ED153" s="18"/>
      <c r="EE153" s="18"/>
      <c r="EF153" s="18"/>
      <c r="EG153" s="18"/>
      <c r="EH153" s="18"/>
      <c r="EI153" s="18"/>
      <c r="EJ153" s="18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</row>
    <row r="154" spans="1:159" s="19" customFormat="1" ht="15">
      <c r="A154" s="22">
        <v>35826</v>
      </c>
      <c r="B154" s="49">
        <f t="shared" si="12"/>
        <v>2202.166</v>
      </c>
      <c r="C154" s="13">
        <v>1971.819</v>
      </c>
      <c r="D154" s="13">
        <v>219.708</v>
      </c>
      <c r="E154" s="13">
        <v>10.639</v>
      </c>
      <c r="F154" s="49">
        <v>237.836</v>
      </c>
      <c r="G154" s="49">
        <f t="shared" si="13"/>
        <v>5680.744000000001</v>
      </c>
      <c r="H154" s="13">
        <v>1425.507</v>
      </c>
      <c r="I154" s="13">
        <v>965.406</v>
      </c>
      <c r="J154" s="13">
        <v>165.246</v>
      </c>
      <c r="K154" s="13">
        <v>207.119</v>
      </c>
      <c r="L154" s="13">
        <v>219.361</v>
      </c>
      <c r="M154" s="13">
        <v>125.75</v>
      </c>
      <c r="N154" s="13">
        <v>388.397</v>
      </c>
      <c r="O154" s="13">
        <v>299.186</v>
      </c>
      <c r="P154" s="13">
        <v>1884.772</v>
      </c>
      <c r="Q154" s="49">
        <f t="shared" si="14"/>
        <v>4000.552</v>
      </c>
      <c r="R154" s="13">
        <v>3279.177</v>
      </c>
      <c r="S154" s="13">
        <v>476.948</v>
      </c>
      <c r="T154" s="13">
        <v>244.427</v>
      </c>
      <c r="U154" s="49">
        <v>6185.092</v>
      </c>
      <c r="V154" s="49">
        <f t="shared" si="15"/>
        <v>4012.987</v>
      </c>
      <c r="W154" s="13">
        <v>3900.84</v>
      </c>
      <c r="X154" s="13">
        <v>17.812</v>
      </c>
      <c r="Y154" s="13">
        <v>94.335</v>
      </c>
      <c r="Z154" s="49">
        <v>105.361</v>
      </c>
      <c r="AA154" s="49">
        <f t="shared" si="16"/>
        <v>8949.738</v>
      </c>
      <c r="AB154" s="13">
        <v>5530.498</v>
      </c>
      <c r="AC154" s="13">
        <v>1.723</v>
      </c>
      <c r="AD154" s="13">
        <v>2083.101</v>
      </c>
      <c r="AE154" s="13">
        <v>1334.416</v>
      </c>
      <c r="AF154" s="49">
        <v>3857.366</v>
      </c>
      <c r="AG154" s="49">
        <v>0</v>
      </c>
      <c r="AH154" s="49">
        <v>4390.569</v>
      </c>
      <c r="AI154" s="49">
        <v>246.387</v>
      </c>
      <c r="AJ154" s="49">
        <v>7772.752</v>
      </c>
      <c r="AK154" s="49">
        <v>11298.295</v>
      </c>
      <c r="AL154" s="49">
        <v>76.315</v>
      </c>
      <c r="AM154" s="14">
        <f t="shared" si="17"/>
        <v>59016.16000000001</v>
      </c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8"/>
      <c r="ED154" s="18"/>
      <c r="EE154" s="18"/>
      <c r="EF154" s="18"/>
      <c r="EG154" s="18"/>
      <c r="EH154" s="18"/>
      <c r="EI154" s="18"/>
      <c r="EJ154" s="18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</row>
    <row r="155" spans="1:159" s="19" customFormat="1" ht="15">
      <c r="A155" s="22">
        <v>35854</v>
      </c>
      <c r="B155" s="49">
        <f t="shared" si="12"/>
        <v>2093.84</v>
      </c>
      <c r="C155" s="13">
        <v>1808.881</v>
      </c>
      <c r="D155" s="13">
        <v>274.732</v>
      </c>
      <c r="E155" s="13">
        <v>10.227</v>
      </c>
      <c r="F155" s="49">
        <v>248.777</v>
      </c>
      <c r="G155" s="49">
        <f t="shared" si="13"/>
        <v>5095.752</v>
      </c>
      <c r="H155" s="13">
        <v>525.489</v>
      </c>
      <c r="I155" s="13">
        <v>1054.092</v>
      </c>
      <c r="J155" s="13">
        <v>143.275</v>
      </c>
      <c r="K155" s="13">
        <v>203.902</v>
      </c>
      <c r="L155" s="13">
        <v>249.895</v>
      </c>
      <c r="M155" s="13">
        <v>129.624</v>
      </c>
      <c r="N155" s="13">
        <v>444.511</v>
      </c>
      <c r="O155" s="13">
        <v>348.687</v>
      </c>
      <c r="P155" s="13">
        <v>1996.277</v>
      </c>
      <c r="Q155" s="49">
        <f t="shared" si="14"/>
        <v>4082.368</v>
      </c>
      <c r="R155" s="13">
        <v>3279.756</v>
      </c>
      <c r="S155" s="13">
        <v>562.665</v>
      </c>
      <c r="T155" s="13">
        <v>239.947</v>
      </c>
      <c r="U155" s="49">
        <v>5939.458</v>
      </c>
      <c r="V155" s="49">
        <f t="shared" si="15"/>
        <v>3909.134</v>
      </c>
      <c r="W155" s="13">
        <v>3764.505</v>
      </c>
      <c r="X155" s="13">
        <v>10.221</v>
      </c>
      <c r="Y155" s="13">
        <v>134.408</v>
      </c>
      <c r="Z155" s="49">
        <v>102.018</v>
      </c>
      <c r="AA155" s="49">
        <f t="shared" si="16"/>
        <v>8402.274</v>
      </c>
      <c r="AB155" s="13">
        <v>5149.991</v>
      </c>
      <c r="AC155" s="13">
        <v>2.699</v>
      </c>
      <c r="AD155" s="13">
        <v>1881.904</v>
      </c>
      <c r="AE155" s="13">
        <v>1367.68</v>
      </c>
      <c r="AF155" s="49">
        <v>4103.839</v>
      </c>
      <c r="AG155" s="49">
        <v>0</v>
      </c>
      <c r="AH155" s="49">
        <v>4486.211</v>
      </c>
      <c r="AI155" s="49">
        <v>227.716</v>
      </c>
      <c r="AJ155" s="49">
        <v>7689.673</v>
      </c>
      <c r="AK155" s="49">
        <v>11783.111</v>
      </c>
      <c r="AL155" s="49">
        <v>77.746</v>
      </c>
      <c r="AM155" s="14">
        <f t="shared" si="17"/>
        <v>58241.917</v>
      </c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8"/>
      <c r="ED155" s="18"/>
      <c r="EE155" s="18"/>
      <c r="EF155" s="18"/>
      <c r="EG155" s="18"/>
      <c r="EH155" s="18"/>
      <c r="EI155" s="18"/>
      <c r="EJ155" s="18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</row>
    <row r="156" spans="1:159" s="19" customFormat="1" ht="15">
      <c r="A156" s="22">
        <v>35885</v>
      </c>
      <c r="B156" s="49">
        <f t="shared" si="12"/>
        <v>1898.755</v>
      </c>
      <c r="C156" s="13">
        <v>1746.834</v>
      </c>
      <c r="D156" s="13">
        <v>146.703</v>
      </c>
      <c r="E156" s="13">
        <v>5.218</v>
      </c>
      <c r="F156" s="49">
        <v>245.361</v>
      </c>
      <c r="G156" s="49">
        <f t="shared" si="13"/>
        <v>5089.615</v>
      </c>
      <c r="H156" s="13">
        <v>509.407</v>
      </c>
      <c r="I156" s="13">
        <v>1042.733</v>
      </c>
      <c r="J156" s="13">
        <v>157.226</v>
      </c>
      <c r="K156" s="13">
        <v>210.841</v>
      </c>
      <c r="L156" s="13">
        <v>188.537</v>
      </c>
      <c r="M156" s="13">
        <v>122.784</v>
      </c>
      <c r="N156" s="13">
        <v>573.08</v>
      </c>
      <c r="O156" s="13">
        <v>340.836</v>
      </c>
      <c r="P156" s="13">
        <v>1944.171</v>
      </c>
      <c r="Q156" s="49">
        <f t="shared" si="14"/>
        <v>3744.384</v>
      </c>
      <c r="R156" s="13">
        <v>3038.627</v>
      </c>
      <c r="S156" s="13">
        <v>461.602</v>
      </c>
      <c r="T156" s="13">
        <v>244.155</v>
      </c>
      <c r="U156" s="49">
        <v>3532.063</v>
      </c>
      <c r="V156" s="49">
        <f t="shared" si="15"/>
        <v>3408.3080000000004</v>
      </c>
      <c r="W156" s="13">
        <v>3264.222</v>
      </c>
      <c r="X156" s="13">
        <v>16.034</v>
      </c>
      <c r="Y156" s="13">
        <v>128.052</v>
      </c>
      <c r="Z156" s="49">
        <v>100.574</v>
      </c>
      <c r="AA156" s="49">
        <f t="shared" si="16"/>
        <v>6178.737999999999</v>
      </c>
      <c r="AB156" s="13">
        <v>2953.576</v>
      </c>
      <c r="AC156" s="13">
        <v>0.563</v>
      </c>
      <c r="AD156" s="13">
        <v>1767.618</v>
      </c>
      <c r="AE156" s="13">
        <v>1456.981</v>
      </c>
      <c r="AF156" s="49">
        <v>3900.832</v>
      </c>
      <c r="AG156" s="49">
        <v>0</v>
      </c>
      <c r="AH156" s="49">
        <v>4218.948</v>
      </c>
      <c r="AI156" s="49">
        <v>172.194</v>
      </c>
      <c r="AJ156" s="49">
        <v>7390.311</v>
      </c>
      <c r="AK156" s="49">
        <v>10838.892</v>
      </c>
      <c r="AL156" s="49">
        <v>59.924</v>
      </c>
      <c r="AM156" s="14">
        <f t="shared" si="17"/>
        <v>50778.899</v>
      </c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8"/>
      <c r="ED156" s="18"/>
      <c r="EE156" s="18"/>
      <c r="EF156" s="18"/>
      <c r="EG156" s="18"/>
      <c r="EH156" s="18"/>
      <c r="EI156" s="18"/>
      <c r="EJ156" s="18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</row>
    <row r="157" spans="1:159" s="19" customFormat="1" ht="15">
      <c r="A157" s="22">
        <v>35915</v>
      </c>
      <c r="B157" s="49">
        <f t="shared" si="12"/>
        <v>1728.599</v>
      </c>
      <c r="C157" s="13">
        <v>1594.573</v>
      </c>
      <c r="D157" s="13">
        <v>129.61</v>
      </c>
      <c r="E157" s="13">
        <v>4.416</v>
      </c>
      <c r="F157" s="49">
        <v>224.947</v>
      </c>
      <c r="G157" s="49">
        <f t="shared" si="13"/>
        <v>4524.7570000000005</v>
      </c>
      <c r="H157" s="13">
        <v>393.501</v>
      </c>
      <c r="I157" s="13">
        <v>860.03</v>
      </c>
      <c r="J157" s="13">
        <v>153.123</v>
      </c>
      <c r="K157" s="13">
        <v>211.238</v>
      </c>
      <c r="L157" s="13">
        <v>168.194</v>
      </c>
      <c r="M157" s="13">
        <v>108.65</v>
      </c>
      <c r="N157" s="13">
        <v>583.843</v>
      </c>
      <c r="O157" s="13">
        <v>223.824</v>
      </c>
      <c r="P157" s="13">
        <v>1822.354</v>
      </c>
      <c r="Q157" s="49">
        <f t="shared" si="14"/>
        <v>3092.299</v>
      </c>
      <c r="R157" s="13">
        <v>2531.092</v>
      </c>
      <c r="S157" s="13">
        <v>359.487</v>
      </c>
      <c r="T157" s="13">
        <v>201.72</v>
      </c>
      <c r="U157" s="49">
        <v>3154.795</v>
      </c>
      <c r="V157" s="49">
        <f t="shared" si="15"/>
        <v>3217.957</v>
      </c>
      <c r="W157" s="13">
        <v>3084.988</v>
      </c>
      <c r="X157" s="13">
        <v>15.69</v>
      </c>
      <c r="Y157" s="13">
        <v>117.279</v>
      </c>
      <c r="Z157" s="49">
        <v>96.732</v>
      </c>
      <c r="AA157" s="49">
        <f t="shared" si="16"/>
        <v>6642.434</v>
      </c>
      <c r="AB157" s="13">
        <v>2962.651</v>
      </c>
      <c r="AC157" s="13">
        <v>0.152</v>
      </c>
      <c r="AD157" s="13">
        <v>1948.725</v>
      </c>
      <c r="AE157" s="13">
        <v>1730.906</v>
      </c>
      <c r="AF157" s="49">
        <v>3610.71</v>
      </c>
      <c r="AG157" s="49">
        <v>0</v>
      </c>
      <c r="AH157" s="49">
        <v>3718.997</v>
      </c>
      <c r="AI157" s="49">
        <v>135.98</v>
      </c>
      <c r="AJ157" s="49">
        <v>6714.902</v>
      </c>
      <c r="AK157" s="49">
        <v>10434.833</v>
      </c>
      <c r="AL157" s="49">
        <v>58.757</v>
      </c>
      <c r="AM157" s="14">
        <f t="shared" si="17"/>
        <v>47356.69899999999</v>
      </c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8"/>
      <c r="ED157" s="18"/>
      <c r="EE157" s="18"/>
      <c r="EF157" s="18"/>
      <c r="EG157" s="18"/>
      <c r="EH157" s="18"/>
      <c r="EI157" s="18"/>
      <c r="EJ157" s="18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</row>
    <row r="158" spans="1:159" s="19" customFormat="1" ht="15">
      <c r="A158" s="22">
        <v>35946</v>
      </c>
      <c r="B158" s="49">
        <f t="shared" si="12"/>
        <v>1777.1960000000001</v>
      </c>
      <c r="C158" s="13">
        <v>1637.969</v>
      </c>
      <c r="D158" s="13">
        <v>135.256</v>
      </c>
      <c r="E158" s="13">
        <v>3.971</v>
      </c>
      <c r="F158" s="49">
        <v>202.335</v>
      </c>
      <c r="G158" s="49">
        <f t="shared" si="13"/>
        <v>4454.795</v>
      </c>
      <c r="H158" s="13">
        <v>254.013</v>
      </c>
      <c r="I158" s="13">
        <v>924.329</v>
      </c>
      <c r="J158" s="13">
        <v>133.248</v>
      </c>
      <c r="K158" s="13">
        <v>251.136</v>
      </c>
      <c r="L158" s="13">
        <v>163.981</v>
      </c>
      <c r="M158" s="13">
        <v>138.308</v>
      </c>
      <c r="N158" s="13">
        <v>595.53</v>
      </c>
      <c r="O158" s="13">
        <v>230.608</v>
      </c>
      <c r="P158" s="13">
        <v>1763.642</v>
      </c>
      <c r="Q158" s="49">
        <f t="shared" si="14"/>
        <v>2919.7560000000003</v>
      </c>
      <c r="R158" s="13">
        <v>2322</v>
      </c>
      <c r="S158" s="13">
        <v>403.733</v>
      </c>
      <c r="T158" s="13">
        <v>194.023</v>
      </c>
      <c r="U158" s="49">
        <v>3008.656</v>
      </c>
      <c r="V158" s="49">
        <f t="shared" si="15"/>
        <v>3061.0159999999996</v>
      </c>
      <c r="W158" s="13">
        <v>2921.12</v>
      </c>
      <c r="X158" s="13">
        <v>21.403</v>
      </c>
      <c r="Y158" s="13">
        <v>118.493</v>
      </c>
      <c r="Z158" s="49">
        <v>92.642</v>
      </c>
      <c r="AA158" s="49">
        <f t="shared" si="16"/>
        <v>6687.696</v>
      </c>
      <c r="AB158" s="13">
        <v>2895.973</v>
      </c>
      <c r="AC158" s="13">
        <v>0.261</v>
      </c>
      <c r="AD158" s="13">
        <v>2067.836</v>
      </c>
      <c r="AE158" s="13">
        <v>1723.626</v>
      </c>
      <c r="AF158" s="49">
        <v>3401.68</v>
      </c>
      <c r="AG158" s="49">
        <v>0</v>
      </c>
      <c r="AH158" s="49">
        <v>3812.295</v>
      </c>
      <c r="AI158" s="49">
        <v>170.99</v>
      </c>
      <c r="AJ158" s="49">
        <v>6849.381</v>
      </c>
      <c r="AK158" s="49">
        <v>10268.388</v>
      </c>
      <c r="AL158" s="49">
        <v>60.242</v>
      </c>
      <c r="AM158" s="14">
        <f t="shared" si="17"/>
        <v>46767.068</v>
      </c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8"/>
      <c r="ED158" s="18"/>
      <c r="EE158" s="18"/>
      <c r="EF158" s="18"/>
      <c r="EG158" s="18"/>
      <c r="EH158" s="18"/>
      <c r="EI158" s="18"/>
      <c r="EJ158" s="18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</row>
    <row r="159" spans="1:159" s="19" customFormat="1" ht="15">
      <c r="A159" s="22">
        <v>35976</v>
      </c>
      <c r="B159" s="49">
        <f t="shared" si="12"/>
        <v>1716.2669999999998</v>
      </c>
      <c r="C159" s="13">
        <v>1572.472</v>
      </c>
      <c r="D159" s="13">
        <v>139.811</v>
      </c>
      <c r="E159" s="13">
        <v>3.984</v>
      </c>
      <c r="F159" s="49">
        <v>215.568</v>
      </c>
      <c r="G159" s="49">
        <f t="shared" si="13"/>
        <v>4250.728</v>
      </c>
      <c r="H159" s="13">
        <v>228.839</v>
      </c>
      <c r="I159" s="13">
        <v>905.658</v>
      </c>
      <c r="J159" s="13">
        <v>137.017</v>
      </c>
      <c r="K159" s="13">
        <v>242.625</v>
      </c>
      <c r="L159" s="13">
        <v>162.052</v>
      </c>
      <c r="M159" s="13">
        <v>128.631</v>
      </c>
      <c r="N159" s="13">
        <v>577.817</v>
      </c>
      <c r="O159" s="13">
        <v>212.938</v>
      </c>
      <c r="P159" s="13">
        <v>1655.151</v>
      </c>
      <c r="Q159" s="49">
        <f t="shared" si="14"/>
        <v>2689.769</v>
      </c>
      <c r="R159" s="13">
        <v>2158.424</v>
      </c>
      <c r="S159" s="13">
        <v>359.283</v>
      </c>
      <c r="T159" s="13">
        <v>172.062</v>
      </c>
      <c r="U159" s="49">
        <v>2945.143</v>
      </c>
      <c r="V159" s="49">
        <f t="shared" si="15"/>
        <v>2412.94</v>
      </c>
      <c r="W159" s="13">
        <v>2300.038</v>
      </c>
      <c r="X159" s="13">
        <v>24.96</v>
      </c>
      <c r="Y159" s="13">
        <v>87.942</v>
      </c>
      <c r="Z159" s="49">
        <v>52.81</v>
      </c>
      <c r="AA159" s="49">
        <f t="shared" si="16"/>
        <v>5083.137999999999</v>
      </c>
      <c r="AB159" s="13">
        <v>1355.003</v>
      </c>
      <c r="AC159" s="13">
        <v>0.155</v>
      </c>
      <c r="AD159" s="13">
        <v>2004.197</v>
      </c>
      <c r="AE159" s="13">
        <v>1723.783</v>
      </c>
      <c r="AF159" s="49">
        <v>3397.159</v>
      </c>
      <c r="AG159" s="49">
        <v>0</v>
      </c>
      <c r="AH159" s="49">
        <v>3881.593</v>
      </c>
      <c r="AI159" s="49">
        <v>155.203</v>
      </c>
      <c r="AJ159" s="49">
        <v>6713.744</v>
      </c>
      <c r="AK159" s="49">
        <v>10869.013</v>
      </c>
      <c r="AL159" s="49">
        <v>65.714</v>
      </c>
      <c r="AM159" s="14">
        <f t="shared" si="17"/>
        <v>44448.789</v>
      </c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8"/>
      <c r="ED159" s="18"/>
      <c r="EE159" s="18"/>
      <c r="EF159" s="18"/>
      <c r="EG159" s="18"/>
      <c r="EH159" s="18"/>
      <c r="EI159" s="18"/>
      <c r="EJ159" s="18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</row>
    <row r="160" spans="1:159" s="19" customFormat="1" ht="15">
      <c r="A160" s="22">
        <v>36007</v>
      </c>
      <c r="B160" s="49">
        <f t="shared" si="12"/>
        <v>1782.202</v>
      </c>
      <c r="C160" s="13">
        <v>1611.847</v>
      </c>
      <c r="D160" s="13">
        <v>166.287</v>
      </c>
      <c r="E160" s="13">
        <v>4.068</v>
      </c>
      <c r="F160" s="49">
        <v>202.115</v>
      </c>
      <c r="G160" s="49">
        <f t="shared" si="13"/>
        <v>4265.385</v>
      </c>
      <c r="H160" s="13">
        <v>225.627</v>
      </c>
      <c r="I160" s="13">
        <v>931.263</v>
      </c>
      <c r="J160" s="13">
        <v>119.021</v>
      </c>
      <c r="K160" s="13">
        <v>243.849</v>
      </c>
      <c r="L160" s="13">
        <v>164.556</v>
      </c>
      <c r="M160" s="13">
        <v>122.452</v>
      </c>
      <c r="N160" s="13">
        <v>459.078</v>
      </c>
      <c r="O160" s="13">
        <v>215.582</v>
      </c>
      <c r="P160" s="13">
        <v>1783.957</v>
      </c>
      <c r="Q160" s="49">
        <f t="shared" si="14"/>
        <v>2689.678</v>
      </c>
      <c r="R160" s="13">
        <v>2167.586</v>
      </c>
      <c r="S160" s="13">
        <v>354.993</v>
      </c>
      <c r="T160" s="13">
        <v>167.099</v>
      </c>
      <c r="U160" s="49">
        <v>3318.479</v>
      </c>
      <c r="V160" s="49">
        <f t="shared" si="15"/>
        <v>2427.549</v>
      </c>
      <c r="W160" s="13">
        <v>2312.873</v>
      </c>
      <c r="X160" s="13">
        <v>20.749</v>
      </c>
      <c r="Y160" s="13">
        <v>93.927</v>
      </c>
      <c r="Z160" s="49">
        <v>53.527</v>
      </c>
      <c r="AA160" s="49">
        <f t="shared" si="16"/>
        <v>4404.022999999999</v>
      </c>
      <c r="AB160" s="13">
        <v>1342.37</v>
      </c>
      <c r="AC160" s="13">
        <v>0.637</v>
      </c>
      <c r="AD160" s="13">
        <v>1781.875</v>
      </c>
      <c r="AE160" s="13">
        <v>1279.141</v>
      </c>
      <c r="AF160" s="49">
        <v>3480.95</v>
      </c>
      <c r="AG160" s="49">
        <v>0</v>
      </c>
      <c r="AH160" s="49">
        <v>3937.016</v>
      </c>
      <c r="AI160" s="49">
        <v>165.615</v>
      </c>
      <c r="AJ160" s="49">
        <v>6824.906</v>
      </c>
      <c r="AK160" s="49">
        <v>10848.922</v>
      </c>
      <c r="AL160" s="49">
        <v>60.099</v>
      </c>
      <c r="AM160" s="14">
        <f t="shared" si="17"/>
        <v>44460.466</v>
      </c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8"/>
      <c r="ED160" s="18"/>
      <c r="EE160" s="18"/>
      <c r="EF160" s="18"/>
      <c r="EG160" s="18"/>
      <c r="EH160" s="18"/>
      <c r="EI160" s="18"/>
      <c r="EJ160" s="18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</row>
    <row r="161" spans="1:159" s="19" customFormat="1" ht="15">
      <c r="A161" s="22">
        <v>36038</v>
      </c>
      <c r="B161" s="49">
        <f t="shared" si="12"/>
        <v>1856.338</v>
      </c>
      <c r="C161" s="13">
        <v>1684.194</v>
      </c>
      <c r="D161" s="13">
        <v>167.714</v>
      </c>
      <c r="E161" s="13">
        <v>4.43</v>
      </c>
      <c r="F161" s="49">
        <v>210.627</v>
      </c>
      <c r="G161" s="49">
        <f t="shared" si="13"/>
        <v>3944.563</v>
      </c>
      <c r="H161" s="13">
        <v>133.757</v>
      </c>
      <c r="I161" s="13">
        <v>569.54</v>
      </c>
      <c r="J161" s="13">
        <v>124.221</v>
      </c>
      <c r="K161" s="13">
        <v>247.103</v>
      </c>
      <c r="L161" s="13">
        <v>150.573</v>
      </c>
      <c r="M161" s="13">
        <v>148.8</v>
      </c>
      <c r="N161" s="13">
        <v>315.28</v>
      </c>
      <c r="O161" s="13">
        <v>250.301</v>
      </c>
      <c r="P161" s="13">
        <v>2004.988</v>
      </c>
      <c r="Q161" s="49">
        <f t="shared" si="14"/>
        <v>2836.669</v>
      </c>
      <c r="R161" s="13">
        <v>2322.956</v>
      </c>
      <c r="S161" s="13">
        <v>349.33</v>
      </c>
      <c r="T161" s="13">
        <v>164.383</v>
      </c>
      <c r="U161" s="49">
        <v>2559.618</v>
      </c>
      <c r="V161" s="49">
        <f t="shared" si="15"/>
        <v>2263.581</v>
      </c>
      <c r="W161" s="13">
        <v>2131.241</v>
      </c>
      <c r="X161" s="13">
        <v>24.741</v>
      </c>
      <c r="Y161" s="13">
        <v>107.599</v>
      </c>
      <c r="Z161" s="49">
        <v>62.455</v>
      </c>
      <c r="AA161" s="49">
        <f t="shared" si="16"/>
        <v>5324.838</v>
      </c>
      <c r="AB161" s="13">
        <v>2061.424</v>
      </c>
      <c r="AC161" s="13">
        <v>1.049</v>
      </c>
      <c r="AD161" s="13">
        <v>1788.364</v>
      </c>
      <c r="AE161" s="13">
        <v>1474.001</v>
      </c>
      <c r="AF161" s="49">
        <v>3462.348</v>
      </c>
      <c r="AG161" s="49">
        <v>0</v>
      </c>
      <c r="AH161" s="49">
        <v>4052.326</v>
      </c>
      <c r="AI161" s="49">
        <v>159.52</v>
      </c>
      <c r="AJ161" s="49">
        <v>6751.207</v>
      </c>
      <c r="AK161" s="49">
        <v>10911.438</v>
      </c>
      <c r="AL161" s="49">
        <v>61.146</v>
      </c>
      <c r="AM161" s="14">
        <f t="shared" si="17"/>
        <v>44456.674</v>
      </c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8"/>
      <c r="ED161" s="18"/>
      <c r="EE161" s="18"/>
      <c r="EF161" s="18"/>
      <c r="EG161" s="18"/>
      <c r="EH161" s="18"/>
      <c r="EI161" s="18"/>
      <c r="EJ161" s="18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</row>
    <row r="162" spans="1:159" s="19" customFormat="1" ht="15">
      <c r="A162" s="22">
        <v>36068</v>
      </c>
      <c r="B162" s="49">
        <f t="shared" si="12"/>
        <v>1880.202</v>
      </c>
      <c r="C162" s="13">
        <v>1708.761</v>
      </c>
      <c r="D162" s="13">
        <v>167.223</v>
      </c>
      <c r="E162" s="13">
        <v>4.218</v>
      </c>
      <c r="F162" s="49">
        <v>152.672</v>
      </c>
      <c r="G162" s="49">
        <f t="shared" si="13"/>
        <v>4430.332</v>
      </c>
      <c r="H162" s="13">
        <v>151.934</v>
      </c>
      <c r="I162" s="13">
        <v>597.329</v>
      </c>
      <c r="J162" s="13">
        <v>127.447</v>
      </c>
      <c r="K162" s="13">
        <v>237.651</v>
      </c>
      <c r="L162" s="13">
        <v>161.721</v>
      </c>
      <c r="M162" s="13">
        <v>137.85</v>
      </c>
      <c r="N162" s="13">
        <v>530.911</v>
      </c>
      <c r="O162" s="13">
        <v>237.697</v>
      </c>
      <c r="P162" s="13">
        <v>2247.792</v>
      </c>
      <c r="Q162" s="49">
        <f t="shared" si="14"/>
        <v>2668.2709999999997</v>
      </c>
      <c r="R162" s="13">
        <v>2143.499</v>
      </c>
      <c r="S162" s="13">
        <v>339.555</v>
      </c>
      <c r="T162" s="13">
        <v>185.217</v>
      </c>
      <c r="U162" s="49">
        <v>2676.684</v>
      </c>
      <c r="V162" s="49">
        <f t="shared" si="15"/>
        <v>2301.575</v>
      </c>
      <c r="W162" s="13">
        <v>2145.342</v>
      </c>
      <c r="X162" s="13">
        <v>48.006</v>
      </c>
      <c r="Y162" s="13">
        <v>108.227</v>
      </c>
      <c r="Z162" s="49">
        <v>52.115</v>
      </c>
      <c r="AA162" s="49">
        <f t="shared" si="16"/>
        <v>5256.407999999999</v>
      </c>
      <c r="AB162" s="13">
        <v>2065.268</v>
      </c>
      <c r="AC162" s="13">
        <v>0.363</v>
      </c>
      <c r="AD162" s="13">
        <v>1819.19</v>
      </c>
      <c r="AE162" s="13">
        <v>1371.587</v>
      </c>
      <c r="AF162" s="49">
        <v>3536.793</v>
      </c>
      <c r="AG162" s="49">
        <v>0</v>
      </c>
      <c r="AH162" s="49">
        <v>4197.108</v>
      </c>
      <c r="AI162" s="49">
        <v>174.338</v>
      </c>
      <c r="AJ162" s="49">
        <v>6887.19</v>
      </c>
      <c r="AK162" s="49">
        <v>10995.617</v>
      </c>
      <c r="AL162" s="49">
        <v>69.203</v>
      </c>
      <c r="AM162" s="14">
        <f t="shared" si="17"/>
        <v>45278.508</v>
      </c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8"/>
      <c r="ED162" s="18"/>
      <c r="EE162" s="18"/>
      <c r="EF162" s="18"/>
      <c r="EG162" s="18"/>
      <c r="EH162" s="18"/>
      <c r="EI162" s="18"/>
      <c r="EJ162" s="18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</row>
    <row r="163" spans="1:159" s="19" customFormat="1" ht="15">
      <c r="A163" s="22">
        <v>36099</v>
      </c>
      <c r="B163" s="49">
        <f t="shared" si="12"/>
        <v>1839.7139999999997</v>
      </c>
      <c r="C163" s="13">
        <v>1681.408</v>
      </c>
      <c r="D163" s="13">
        <v>155.407</v>
      </c>
      <c r="E163" s="13">
        <v>2.899</v>
      </c>
      <c r="F163" s="49">
        <v>119.184</v>
      </c>
      <c r="G163" s="49">
        <f t="shared" si="13"/>
        <v>4307.303</v>
      </c>
      <c r="H163" s="13">
        <v>133.623</v>
      </c>
      <c r="I163" s="13">
        <v>685.654</v>
      </c>
      <c r="J163" s="13">
        <v>128.662</v>
      </c>
      <c r="K163" s="13">
        <v>164.392</v>
      </c>
      <c r="L163" s="13">
        <v>149.069</v>
      </c>
      <c r="M163" s="13">
        <v>139.678</v>
      </c>
      <c r="N163" s="13">
        <v>602.056</v>
      </c>
      <c r="O163" s="13">
        <v>315.533</v>
      </c>
      <c r="P163" s="13">
        <v>1988.636</v>
      </c>
      <c r="Q163" s="49">
        <f t="shared" si="14"/>
        <v>2543.5540000000005</v>
      </c>
      <c r="R163" s="13">
        <v>2123.032</v>
      </c>
      <c r="S163" s="13">
        <v>316.108</v>
      </c>
      <c r="T163" s="13">
        <v>104.414</v>
      </c>
      <c r="U163" s="49">
        <v>2711.658</v>
      </c>
      <c r="V163" s="49">
        <f t="shared" si="15"/>
        <v>2328.013</v>
      </c>
      <c r="W163" s="13">
        <v>2161.605</v>
      </c>
      <c r="X163" s="13">
        <v>58.906</v>
      </c>
      <c r="Y163" s="13">
        <v>107.502</v>
      </c>
      <c r="Z163" s="49">
        <v>64.535</v>
      </c>
      <c r="AA163" s="49">
        <f t="shared" si="16"/>
        <v>5466.761</v>
      </c>
      <c r="AB163" s="13">
        <v>1327.881</v>
      </c>
      <c r="AC163" s="13">
        <v>1.022</v>
      </c>
      <c r="AD163" s="13">
        <v>1943.831</v>
      </c>
      <c r="AE163" s="13">
        <v>2194.027</v>
      </c>
      <c r="AF163" s="49">
        <v>3037.095</v>
      </c>
      <c r="AG163" s="49">
        <v>0</v>
      </c>
      <c r="AH163" s="49">
        <v>4201.234</v>
      </c>
      <c r="AI163" s="49">
        <v>173.291</v>
      </c>
      <c r="AJ163" s="49">
        <v>6756.393</v>
      </c>
      <c r="AK163" s="49">
        <v>10642.921</v>
      </c>
      <c r="AL163" s="49">
        <v>57.759</v>
      </c>
      <c r="AM163" s="14">
        <f t="shared" si="17"/>
        <v>44249.415</v>
      </c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8"/>
      <c r="ED163" s="18"/>
      <c r="EE163" s="18"/>
      <c r="EF163" s="18"/>
      <c r="EG163" s="18"/>
      <c r="EH163" s="18"/>
      <c r="EI163" s="18"/>
      <c r="EJ163" s="18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</row>
    <row r="164" spans="1:159" s="19" customFormat="1" ht="15">
      <c r="A164" s="22">
        <v>36129</v>
      </c>
      <c r="B164" s="49">
        <f t="shared" si="12"/>
        <v>1964.6200000000001</v>
      </c>
      <c r="C164" s="13">
        <v>1808.351</v>
      </c>
      <c r="D164" s="13">
        <v>153.502</v>
      </c>
      <c r="E164" s="13">
        <v>2.767</v>
      </c>
      <c r="F164" s="49">
        <v>146.233</v>
      </c>
      <c r="G164" s="49">
        <f t="shared" si="13"/>
        <v>4466.103999999999</v>
      </c>
      <c r="H164" s="13">
        <v>258.087</v>
      </c>
      <c r="I164" s="13">
        <v>491.727</v>
      </c>
      <c r="J164" s="13">
        <v>125.996</v>
      </c>
      <c r="K164" s="13">
        <v>198.302</v>
      </c>
      <c r="L164" s="13">
        <v>164.382</v>
      </c>
      <c r="M164" s="13">
        <v>139.915</v>
      </c>
      <c r="N164" s="13">
        <v>642.104</v>
      </c>
      <c r="O164" s="13">
        <v>332.255</v>
      </c>
      <c r="P164" s="13">
        <v>2113.336</v>
      </c>
      <c r="Q164" s="49">
        <f t="shared" si="14"/>
        <v>2615.834</v>
      </c>
      <c r="R164" s="13">
        <v>2167.968</v>
      </c>
      <c r="S164" s="13">
        <v>344.059</v>
      </c>
      <c r="T164" s="13">
        <v>103.807</v>
      </c>
      <c r="U164" s="49">
        <v>2543.793</v>
      </c>
      <c r="V164" s="49">
        <f t="shared" si="15"/>
        <v>2321.728</v>
      </c>
      <c r="W164" s="13">
        <v>2180.541</v>
      </c>
      <c r="X164" s="13">
        <v>42.118</v>
      </c>
      <c r="Y164" s="13">
        <v>99.069</v>
      </c>
      <c r="Z164" s="49">
        <v>44.673</v>
      </c>
      <c r="AA164" s="49">
        <f t="shared" si="16"/>
        <v>4380.194</v>
      </c>
      <c r="AB164" s="13">
        <v>1326.393</v>
      </c>
      <c r="AC164" s="13">
        <v>1.796</v>
      </c>
      <c r="AD164" s="13">
        <v>1806.582</v>
      </c>
      <c r="AE164" s="13">
        <v>1245.423</v>
      </c>
      <c r="AF164" s="49">
        <v>3285.405</v>
      </c>
      <c r="AG164" s="49">
        <v>0</v>
      </c>
      <c r="AH164" s="49">
        <v>4259.463</v>
      </c>
      <c r="AI164" s="49">
        <v>160.539</v>
      </c>
      <c r="AJ164" s="49">
        <v>6928.252</v>
      </c>
      <c r="AK164" s="49">
        <v>10493.042</v>
      </c>
      <c r="AL164" s="49">
        <v>82.614</v>
      </c>
      <c r="AM164" s="14">
        <f t="shared" si="17"/>
        <v>43692.494000000006</v>
      </c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8"/>
      <c r="ED164" s="18"/>
      <c r="EE164" s="18"/>
      <c r="EF164" s="18"/>
      <c r="EG164" s="18"/>
      <c r="EH164" s="18"/>
      <c r="EI164" s="18"/>
      <c r="EJ164" s="18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</row>
    <row r="165" spans="1:159" s="19" customFormat="1" ht="15">
      <c r="A165" s="22">
        <v>36160</v>
      </c>
      <c r="B165" s="49">
        <f t="shared" si="12"/>
        <v>1977.036</v>
      </c>
      <c r="C165" s="13">
        <v>1823.034</v>
      </c>
      <c r="D165" s="13">
        <v>151.453</v>
      </c>
      <c r="E165" s="13">
        <v>2.549</v>
      </c>
      <c r="F165" s="49">
        <v>191.027</v>
      </c>
      <c r="G165" s="49">
        <f t="shared" si="13"/>
        <v>4001.96</v>
      </c>
      <c r="H165" s="13">
        <v>152.698</v>
      </c>
      <c r="I165" s="13">
        <v>604.971</v>
      </c>
      <c r="J165" s="13">
        <v>123.398</v>
      </c>
      <c r="K165" s="13">
        <v>170.81</v>
      </c>
      <c r="L165" s="13">
        <v>160.37</v>
      </c>
      <c r="M165" s="13">
        <v>154.604</v>
      </c>
      <c r="N165" s="13">
        <v>596.992</v>
      </c>
      <c r="O165" s="13">
        <v>194.348</v>
      </c>
      <c r="P165" s="13">
        <v>1843.769</v>
      </c>
      <c r="Q165" s="49">
        <f t="shared" si="14"/>
        <v>2540.172</v>
      </c>
      <c r="R165" s="13">
        <v>2016.51</v>
      </c>
      <c r="S165" s="13">
        <v>419.75</v>
      </c>
      <c r="T165" s="13">
        <v>103.912</v>
      </c>
      <c r="U165" s="49">
        <v>2638.617</v>
      </c>
      <c r="V165" s="49">
        <f t="shared" si="15"/>
        <v>1901.195</v>
      </c>
      <c r="W165" s="13">
        <v>1761.185</v>
      </c>
      <c r="X165" s="13">
        <v>44.604</v>
      </c>
      <c r="Y165" s="13">
        <v>95.406</v>
      </c>
      <c r="Z165" s="49">
        <v>68.239</v>
      </c>
      <c r="AA165" s="49">
        <f t="shared" si="16"/>
        <v>4716.352</v>
      </c>
      <c r="AB165" s="13">
        <v>1253.452</v>
      </c>
      <c r="AC165" s="13">
        <v>0.851</v>
      </c>
      <c r="AD165" s="13">
        <v>1991.977</v>
      </c>
      <c r="AE165" s="13">
        <v>1470.072</v>
      </c>
      <c r="AF165" s="49">
        <v>3610.449</v>
      </c>
      <c r="AG165" s="49">
        <v>0</v>
      </c>
      <c r="AH165" s="49">
        <v>4260.418</v>
      </c>
      <c r="AI165" s="49">
        <v>124.935</v>
      </c>
      <c r="AJ165" s="49">
        <v>6427.634</v>
      </c>
      <c r="AK165" s="49">
        <v>10543.528</v>
      </c>
      <c r="AL165" s="49">
        <v>82.285</v>
      </c>
      <c r="AM165" s="14">
        <f t="shared" si="17"/>
        <v>43083.847</v>
      </c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8"/>
      <c r="ED165" s="18"/>
      <c r="EE165" s="18"/>
      <c r="EF165" s="18"/>
      <c r="EG165" s="18"/>
      <c r="EH165" s="18"/>
      <c r="EI165" s="18"/>
      <c r="EJ165" s="18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</row>
    <row r="166" spans="1:159" s="19" customFormat="1" ht="15">
      <c r="A166" s="22">
        <v>36191</v>
      </c>
      <c r="B166" s="49">
        <f t="shared" si="12"/>
        <v>1858.053</v>
      </c>
      <c r="C166" s="13">
        <v>1730.053</v>
      </c>
      <c r="D166" s="13">
        <v>120.506</v>
      </c>
      <c r="E166" s="13">
        <v>7.494</v>
      </c>
      <c r="F166" s="49">
        <v>153.395</v>
      </c>
      <c r="G166" s="49">
        <f t="shared" si="13"/>
        <v>4338.6939999999995</v>
      </c>
      <c r="H166" s="13">
        <v>187.866</v>
      </c>
      <c r="I166" s="13">
        <v>696.607</v>
      </c>
      <c r="J166" s="13">
        <v>111.986</v>
      </c>
      <c r="K166" s="13">
        <v>185.386</v>
      </c>
      <c r="L166" s="13">
        <v>163.074</v>
      </c>
      <c r="M166" s="13">
        <v>169.679</v>
      </c>
      <c r="N166" s="13">
        <v>552.153</v>
      </c>
      <c r="O166" s="13">
        <v>138.138</v>
      </c>
      <c r="P166" s="13">
        <v>2133.805</v>
      </c>
      <c r="Q166" s="49">
        <f t="shared" si="14"/>
        <v>2550.5969999999998</v>
      </c>
      <c r="R166" s="13">
        <v>1844.605</v>
      </c>
      <c r="S166" s="13">
        <v>589.486</v>
      </c>
      <c r="T166" s="13">
        <v>116.506</v>
      </c>
      <c r="U166" s="49">
        <v>2188.962</v>
      </c>
      <c r="V166" s="49">
        <f t="shared" si="15"/>
        <v>1810.924</v>
      </c>
      <c r="W166" s="13">
        <v>1669.216</v>
      </c>
      <c r="X166" s="13">
        <v>26.037</v>
      </c>
      <c r="Y166" s="13">
        <v>115.671</v>
      </c>
      <c r="Z166" s="49">
        <v>147.468</v>
      </c>
      <c r="AA166" s="49">
        <f t="shared" si="16"/>
        <v>5334.567999999999</v>
      </c>
      <c r="AB166" s="13">
        <v>1266.931</v>
      </c>
      <c r="AC166" s="13">
        <v>3.943</v>
      </c>
      <c r="AD166" s="13">
        <v>1912.543</v>
      </c>
      <c r="AE166" s="13">
        <v>2151.151</v>
      </c>
      <c r="AF166" s="49">
        <v>3525.935</v>
      </c>
      <c r="AG166" s="49">
        <v>0</v>
      </c>
      <c r="AH166" s="49">
        <v>4476.006</v>
      </c>
      <c r="AI166" s="49">
        <v>170.758</v>
      </c>
      <c r="AJ166" s="49">
        <v>6747.924</v>
      </c>
      <c r="AK166" s="49">
        <v>10379.049</v>
      </c>
      <c r="AL166" s="49">
        <v>92.075</v>
      </c>
      <c r="AM166" s="14">
        <f t="shared" si="17"/>
        <v>43774.408</v>
      </c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8"/>
      <c r="ED166" s="18"/>
      <c r="EE166" s="18"/>
      <c r="EF166" s="18"/>
      <c r="EG166" s="18"/>
      <c r="EH166" s="18"/>
      <c r="EI166" s="18"/>
      <c r="EJ166" s="18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</row>
    <row r="167" spans="1:159" s="19" customFormat="1" ht="15">
      <c r="A167" s="22">
        <v>36219</v>
      </c>
      <c r="B167" s="49">
        <f t="shared" si="12"/>
        <v>1948.462</v>
      </c>
      <c r="C167" s="13">
        <v>1806.57</v>
      </c>
      <c r="D167" s="13">
        <v>134.429</v>
      </c>
      <c r="E167" s="13">
        <v>7.463</v>
      </c>
      <c r="F167" s="49">
        <v>151.711</v>
      </c>
      <c r="G167" s="49">
        <f t="shared" si="13"/>
        <v>4134.727</v>
      </c>
      <c r="H167" s="13">
        <v>176.844</v>
      </c>
      <c r="I167" s="13">
        <v>703.847</v>
      </c>
      <c r="J167" s="13">
        <v>118.449</v>
      </c>
      <c r="K167" s="13">
        <v>186.768</v>
      </c>
      <c r="L167" s="13">
        <v>153.21</v>
      </c>
      <c r="M167" s="13">
        <v>168.271</v>
      </c>
      <c r="N167" s="13">
        <v>513.789</v>
      </c>
      <c r="O167" s="13">
        <v>115.182</v>
      </c>
      <c r="P167" s="13">
        <v>1998.367</v>
      </c>
      <c r="Q167" s="49">
        <f t="shared" si="14"/>
        <v>2454.203</v>
      </c>
      <c r="R167" s="13">
        <v>1956.263</v>
      </c>
      <c r="S167" s="13">
        <v>385.455</v>
      </c>
      <c r="T167" s="13">
        <v>112.485</v>
      </c>
      <c r="U167" s="49">
        <v>2894.717</v>
      </c>
      <c r="V167" s="49">
        <f t="shared" si="15"/>
        <v>1714.1540000000002</v>
      </c>
      <c r="W167" s="13">
        <v>1575.496</v>
      </c>
      <c r="X167" s="13">
        <v>17.556</v>
      </c>
      <c r="Y167" s="13">
        <v>121.102</v>
      </c>
      <c r="Z167" s="49">
        <v>156.735</v>
      </c>
      <c r="AA167" s="49">
        <f t="shared" si="16"/>
        <v>5213.285</v>
      </c>
      <c r="AB167" s="13">
        <v>1412.178</v>
      </c>
      <c r="AC167" s="13">
        <v>1.042</v>
      </c>
      <c r="AD167" s="13">
        <v>1531.26</v>
      </c>
      <c r="AE167" s="13">
        <v>2268.805</v>
      </c>
      <c r="AF167" s="49">
        <v>3373.463</v>
      </c>
      <c r="AG167" s="49">
        <v>0</v>
      </c>
      <c r="AH167" s="49">
        <v>4561.726</v>
      </c>
      <c r="AI167" s="49">
        <v>172.508</v>
      </c>
      <c r="AJ167" s="49">
        <v>6816.599</v>
      </c>
      <c r="AK167" s="49">
        <v>10257.698</v>
      </c>
      <c r="AL167" s="49">
        <v>82.074</v>
      </c>
      <c r="AM167" s="14">
        <f t="shared" si="17"/>
        <v>43932.062</v>
      </c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8"/>
      <c r="ED167" s="18"/>
      <c r="EE167" s="18"/>
      <c r="EF167" s="18"/>
      <c r="EG167" s="18"/>
      <c r="EH167" s="18"/>
      <c r="EI167" s="18"/>
      <c r="EJ167" s="18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</row>
    <row r="168" spans="1:159" s="19" customFormat="1" ht="15">
      <c r="A168" s="22">
        <v>36250</v>
      </c>
      <c r="B168" s="49">
        <f t="shared" si="12"/>
        <v>1908.6719999999998</v>
      </c>
      <c r="C168" s="13">
        <v>1768.032</v>
      </c>
      <c r="D168" s="13">
        <v>133.176</v>
      </c>
      <c r="E168" s="13">
        <v>7.464</v>
      </c>
      <c r="F168" s="49">
        <v>149.564</v>
      </c>
      <c r="G168" s="49">
        <f t="shared" si="13"/>
        <v>4089.8940000000002</v>
      </c>
      <c r="H168" s="13">
        <v>177.539</v>
      </c>
      <c r="I168" s="13">
        <v>706.681</v>
      </c>
      <c r="J168" s="13">
        <v>95.815</v>
      </c>
      <c r="K168" s="13">
        <v>168.999</v>
      </c>
      <c r="L168" s="13">
        <v>147.448</v>
      </c>
      <c r="M168" s="13">
        <v>155.555</v>
      </c>
      <c r="N168" s="13">
        <v>522.302</v>
      </c>
      <c r="O168" s="13">
        <v>187.973</v>
      </c>
      <c r="P168" s="13">
        <v>1927.582</v>
      </c>
      <c r="Q168" s="49">
        <f t="shared" si="14"/>
        <v>2379.0190000000002</v>
      </c>
      <c r="R168" s="13">
        <v>1897.773</v>
      </c>
      <c r="S168" s="13">
        <v>378.011</v>
      </c>
      <c r="T168" s="13">
        <v>103.235</v>
      </c>
      <c r="U168" s="49">
        <v>3233.941</v>
      </c>
      <c r="V168" s="49">
        <f t="shared" si="15"/>
        <v>1636.495</v>
      </c>
      <c r="W168" s="13">
        <v>1476.393</v>
      </c>
      <c r="X168" s="13">
        <v>13.781</v>
      </c>
      <c r="Y168" s="13">
        <v>146.321</v>
      </c>
      <c r="Z168" s="49">
        <v>183.01</v>
      </c>
      <c r="AA168" s="49">
        <f t="shared" si="16"/>
        <v>5502.1669999999995</v>
      </c>
      <c r="AB168" s="13">
        <v>1432.705</v>
      </c>
      <c r="AC168" s="13">
        <v>0</v>
      </c>
      <c r="AD168" s="13">
        <v>1674.966</v>
      </c>
      <c r="AE168" s="13">
        <v>2394.496</v>
      </c>
      <c r="AF168" s="49">
        <v>3234.734</v>
      </c>
      <c r="AG168" s="49">
        <v>0</v>
      </c>
      <c r="AH168" s="49">
        <v>4555.505</v>
      </c>
      <c r="AI168" s="49">
        <v>154.469</v>
      </c>
      <c r="AJ168" s="49">
        <v>6910.59</v>
      </c>
      <c r="AK168" s="49">
        <v>10608.67</v>
      </c>
      <c r="AL168" s="49">
        <v>77.938</v>
      </c>
      <c r="AM168" s="14">
        <f t="shared" si="17"/>
        <v>44624.668</v>
      </c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8"/>
      <c r="ED168" s="18"/>
      <c r="EE168" s="18"/>
      <c r="EF168" s="18"/>
      <c r="EG168" s="18"/>
      <c r="EH168" s="18"/>
      <c r="EI168" s="18"/>
      <c r="EJ168" s="18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</row>
    <row r="169" spans="1:159" s="19" customFormat="1" ht="15">
      <c r="A169" s="22">
        <v>36280</v>
      </c>
      <c r="B169" s="49">
        <f t="shared" si="12"/>
        <v>1487.7310000000002</v>
      </c>
      <c r="C169" s="13">
        <v>1352.303</v>
      </c>
      <c r="D169" s="13">
        <v>133.065</v>
      </c>
      <c r="E169" s="13">
        <v>2.363</v>
      </c>
      <c r="F169" s="49">
        <v>134.303</v>
      </c>
      <c r="G169" s="49">
        <f t="shared" si="13"/>
        <v>3740.203</v>
      </c>
      <c r="H169" s="13">
        <v>70.222</v>
      </c>
      <c r="I169" s="13">
        <v>682.608</v>
      </c>
      <c r="J169" s="13">
        <v>107.134</v>
      </c>
      <c r="K169" s="13">
        <v>166.446</v>
      </c>
      <c r="L169" s="13">
        <v>154.958</v>
      </c>
      <c r="M169" s="13">
        <v>168.544</v>
      </c>
      <c r="N169" s="13">
        <v>504.81</v>
      </c>
      <c r="O169" s="13">
        <v>164.106</v>
      </c>
      <c r="P169" s="13">
        <v>1721.375</v>
      </c>
      <c r="Q169" s="49">
        <f t="shared" si="14"/>
        <v>2122.156</v>
      </c>
      <c r="R169" s="13">
        <v>1583.764</v>
      </c>
      <c r="S169" s="13">
        <v>426.139</v>
      </c>
      <c r="T169" s="13">
        <v>112.253</v>
      </c>
      <c r="U169" s="49">
        <v>2067.809</v>
      </c>
      <c r="V169" s="49">
        <f t="shared" si="15"/>
        <v>1448.066</v>
      </c>
      <c r="W169" s="13">
        <v>1307.219</v>
      </c>
      <c r="X169" s="13">
        <v>12.994</v>
      </c>
      <c r="Y169" s="13">
        <v>127.853</v>
      </c>
      <c r="Z169" s="49">
        <v>145.149</v>
      </c>
      <c r="AA169" s="49">
        <f t="shared" si="16"/>
        <v>5655.028</v>
      </c>
      <c r="AB169" s="13">
        <v>1508.072</v>
      </c>
      <c r="AC169" s="13">
        <v>0</v>
      </c>
      <c r="AD169" s="13">
        <v>1755.367</v>
      </c>
      <c r="AE169" s="13">
        <v>2391.589</v>
      </c>
      <c r="AF169" s="49">
        <v>2837.647</v>
      </c>
      <c r="AG169" s="49">
        <v>0</v>
      </c>
      <c r="AH169" s="49">
        <v>3110.372</v>
      </c>
      <c r="AI169" s="49">
        <v>136.188</v>
      </c>
      <c r="AJ169" s="49">
        <v>4435.361</v>
      </c>
      <c r="AK169" s="49">
        <v>10555.821</v>
      </c>
      <c r="AL169" s="49">
        <v>71.099</v>
      </c>
      <c r="AM169" s="14">
        <f t="shared" si="17"/>
        <v>37946.933000000005</v>
      </c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8"/>
      <c r="ED169" s="18"/>
      <c r="EE169" s="18"/>
      <c r="EF169" s="18"/>
      <c r="EG169" s="18"/>
      <c r="EH169" s="18"/>
      <c r="EI169" s="18"/>
      <c r="EJ169" s="18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</row>
    <row r="170" spans="1:159" s="19" customFormat="1" ht="15">
      <c r="A170" s="22">
        <v>36311</v>
      </c>
      <c r="B170" s="49">
        <f t="shared" si="12"/>
        <v>1629.109</v>
      </c>
      <c r="C170" s="13">
        <v>1511.112</v>
      </c>
      <c r="D170" s="13">
        <v>115.609</v>
      </c>
      <c r="E170" s="13">
        <v>2.388</v>
      </c>
      <c r="F170" s="49">
        <v>121.709</v>
      </c>
      <c r="G170" s="49">
        <f t="shared" si="13"/>
        <v>3579.6320000000005</v>
      </c>
      <c r="H170" s="13">
        <v>92.341</v>
      </c>
      <c r="I170" s="13">
        <v>720.579</v>
      </c>
      <c r="J170" s="13">
        <v>102.133</v>
      </c>
      <c r="K170" s="13">
        <v>171.766</v>
      </c>
      <c r="L170" s="13">
        <v>122.482</v>
      </c>
      <c r="M170" s="13">
        <v>154.313</v>
      </c>
      <c r="N170" s="13">
        <v>379.619</v>
      </c>
      <c r="O170" s="13">
        <v>152.057</v>
      </c>
      <c r="P170" s="13">
        <v>1684.342</v>
      </c>
      <c r="Q170" s="49">
        <f t="shared" si="14"/>
        <v>2128.5969999999998</v>
      </c>
      <c r="R170" s="13">
        <v>1563.462</v>
      </c>
      <c r="S170" s="13">
        <v>465.356</v>
      </c>
      <c r="T170" s="13">
        <v>99.779</v>
      </c>
      <c r="U170" s="49">
        <v>2450.463</v>
      </c>
      <c r="V170" s="49">
        <f t="shared" si="15"/>
        <v>1433.893</v>
      </c>
      <c r="W170" s="13">
        <v>1291.622</v>
      </c>
      <c r="X170" s="13">
        <v>12.243</v>
      </c>
      <c r="Y170" s="13">
        <v>130.028</v>
      </c>
      <c r="Z170" s="49">
        <v>111.256</v>
      </c>
      <c r="AA170" s="49">
        <f t="shared" si="16"/>
        <v>5776.558</v>
      </c>
      <c r="AB170" s="13">
        <v>1461.147</v>
      </c>
      <c r="AC170" s="13">
        <v>0.122</v>
      </c>
      <c r="AD170" s="13">
        <v>1878.905</v>
      </c>
      <c r="AE170" s="13">
        <v>2436.384</v>
      </c>
      <c r="AF170" s="49">
        <v>3001.269</v>
      </c>
      <c r="AG170" s="49">
        <v>0</v>
      </c>
      <c r="AH170" s="49">
        <v>3126.901</v>
      </c>
      <c r="AI170" s="49">
        <v>141.339</v>
      </c>
      <c r="AJ170" s="49">
        <v>4540.559</v>
      </c>
      <c r="AK170" s="49">
        <v>11183.921</v>
      </c>
      <c r="AL170" s="49">
        <v>69.427</v>
      </c>
      <c r="AM170" s="14">
        <f t="shared" si="17"/>
        <v>39294.63300000001</v>
      </c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8"/>
      <c r="ED170" s="18"/>
      <c r="EE170" s="18"/>
      <c r="EF170" s="18"/>
      <c r="EG170" s="18"/>
      <c r="EH170" s="18"/>
      <c r="EI170" s="18"/>
      <c r="EJ170" s="18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</row>
    <row r="171" spans="1:159" s="19" customFormat="1" ht="15">
      <c r="A171" s="22">
        <v>36341</v>
      </c>
      <c r="B171" s="49">
        <f t="shared" si="12"/>
        <v>1951.294</v>
      </c>
      <c r="C171" s="13">
        <v>1836.451</v>
      </c>
      <c r="D171" s="13">
        <v>112.566</v>
      </c>
      <c r="E171" s="13">
        <v>2.277</v>
      </c>
      <c r="F171" s="49">
        <v>91.161</v>
      </c>
      <c r="G171" s="49">
        <f t="shared" si="13"/>
        <v>2709.98</v>
      </c>
      <c r="H171" s="13">
        <v>69.62</v>
      </c>
      <c r="I171" s="13">
        <v>714.032</v>
      </c>
      <c r="J171" s="13">
        <v>100.094</v>
      </c>
      <c r="K171" s="13">
        <v>160.551</v>
      </c>
      <c r="L171" s="13">
        <v>97.865</v>
      </c>
      <c r="M171" s="13">
        <v>150.738</v>
      </c>
      <c r="N171" s="13">
        <v>218.624</v>
      </c>
      <c r="O171" s="13">
        <v>159.298</v>
      </c>
      <c r="P171" s="13">
        <v>1039.158</v>
      </c>
      <c r="Q171" s="49">
        <f t="shared" si="14"/>
        <v>2145.259</v>
      </c>
      <c r="R171" s="13">
        <v>1573.104</v>
      </c>
      <c r="S171" s="13">
        <v>468.727</v>
      </c>
      <c r="T171" s="13">
        <v>103.428</v>
      </c>
      <c r="U171" s="49">
        <v>2723.051</v>
      </c>
      <c r="V171" s="49">
        <f t="shared" si="15"/>
        <v>1463.2400000000002</v>
      </c>
      <c r="W171" s="13">
        <v>1314.563</v>
      </c>
      <c r="X171" s="13">
        <v>21.621</v>
      </c>
      <c r="Y171" s="13">
        <v>127.056</v>
      </c>
      <c r="Z171" s="49">
        <v>87.107</v>
      </c>
      <c r="AA171" s="49">
        <f t="shared" si="16"/>
        <v>5555.4619999999995</v>
      </c>
      <c r="AB171" s="13">
        <v>1446.22</v>
      </c>
      <c r="AC171" s="13">
        <v>0.815</v>
      </c>
      <c r="AD171" s="13">
        <v>2066.749</v>
      </c>
      <c r="AE171" s="13">
        <v>2041.678</v>
      </c>
      <c r="AF171" s="49">
        <v>2947.893</v>
      </c>
      <c r="AG171" s="49">
        <v>0</v>
      </c>
      <c r="AH171" s="49">
        <v>3002.803</v>
      </c>
      <c r="AI171" s="49">
        <v>130.815</v>
      </c>
      <c r="AJ171" s="49">
        <v>4303.841</v>
      </c>
      <c r="AK171" s="49">
        <v>11013.212</v>
      </c>
      <c r="AL171" s="49">
        <v>78.733</v>
      </c>
      <c r="AM171" s="14">
        <f t="shared" si="17"/>
        <v>38203.851</v>
      </c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8"/>
      <c r="ED171" s="18"/>
      <c r="EE171" s="18"/>
      <c r="EF171" s="18"/>
      <c r="EG171" s="18"/>
      <c r="EH171" s="18"/>
      <c r="EI171" s="18"/>
      <c r="EJ171" s="18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</row>
    <row r="172" spans="1:159" s="19" customFormat="1" ht="15">
      <c r="A172" s="22">
        <v>36372</v>
      </c>
      <c r="B172" s="49">
        <f t="shared" si="12"/>
        <v>1804.9589999999998</v>
      </c>
      <c r="C172" s="13">
        <v>1691.945</v>
      </c>
      <c r="D172" s="13">
        <v>110.962</v>
      </c>
      <c r="E172" s="13">
        <v>2.052</v>
      </c>
      <c r="F172" s="49">
        <v>72.828</v>
      </c>
      <c r="G172" s="49">
        <f t="shared" si="13"/>
        <v>2884.929</v>
      </c>
      <c r="H172" s="13">
        <v>135.327</v>
      </c>
      <c r="I172" s="13">
        <v>705.171</v>
      </c>
      <c r="J172" s="13">
        <v>85.098</v>
      </c>
      <c r="K172" s="13">
        <v>159.994</v>
      </c>
      <c r="L172" s="13">
        <v>127.392</v>
      </c>
      <c r="M172" s="13">
        <v>158.616</v>
      </c>
      <c r="N172" s="13">
        <v>179.149</v>
      </c>
      <c r="O172" s="13">
        <v>99.151</v>
      </c>
      <c r="P172" s="13">
        <v>1235.031</v>
      </c>
      <c r="Q172" s="49">
        <f t="shared" si="14"/>
        <v>2078.9480000000003</v>
      </c>
      <c r="R172" s="13">
        <v>1574.881</v>
      </c>
      <c r="S172" s="13">
        <v>401.286</v>
      </c>
      <c r="T172" s="13">
        <v>102.781</v>
      </c>
      <c r="U172" s="49">
        <v>1487.525</v>
      </c>
      <c r="V172" s="49">
        <f t="shared" si="15"/>
        <v>1475.9750000000001</v>
      </c>
      <c r="W172" s="13">
        <v>1301.229</v>
      </c>
      <c r="X172" s="13">
        <v>9.169</v>
      </c>
      <c r="Y172" s="13">
        <v>165.577</v>
      </c>
      <c r="Z172" s="49">
        <v>76.576</v>
      </c>
      <c r="AA172" s="49">
        <f t="shared" si="16"/>
        <v>5514.171</v>
      </c>
      <c r="AB172" s="13">
        <v>1335.456</v>
      </c>
      <c r="AC172" s="13">
        <v>0.852</v>
      </c>
      <c r="AD172" s="13">
        <v>1874.945</v>
      </c>
      <c r="AE172" s="13">
        <v>2302.918</v>
      </c>
      <c r="AF172" s="49">
        <v>2785.4</v>
      </c>
      <c r="AG172" s="49">
        <v>0</v>
      </c>
      <c r="AH172" s="49">
        <v>2992.019</v>
      </c>
      <c r="AI172" s="49">
        <v>150.609</v>
      </c>
      <c r="AJ172" s="49">
        <v>4495.595</v>
      </c>
      <c r="AK172" s="49">
        <v>11588.195</v>
      </c>
      <c r="AL172" s="49">
        <v>76.665</v>
      </c>
      <c r="AM172" s="14">
        <f t="shared" si="17"/>
        <v>37484.39400000001</v>
      </c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8"/>
      <c r="ED172" s="18"/>
      <c r="EE172" s="18"/>
      <c r="EF172" s="18"/>
      <c r="EG172" s="18"/>
      <c r="EH172" s="18"/>
      <c r="EI172" s="18"/>
      <c r="EJ172" s="18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</row>
    <row r="173" spans="1:159" s="19" customFormat="1" ht="15">
      <c r="A173" s="22">
        <v>36403</v>
      </c>
      <c r="B173" s="49">
        <f t="shared" si="12"/>
        <v>1909.4489999999998</v>
      </c>
      <c r="C173" s="13">
        <v>1808.001</v>
      </c>
      <c r="D173" s="13">
        <v>99.6</v>
      </c>
      <c r="E173" s="13">
        <v>1.848</v>
      </c>
      <c r="F173" s="49">
        <v>86.013</v>
      </c>
      <c r="G173" s="49">
        <f t="shared" si="13"/>
        <v>2888.7889999999998</v>
      </c>
      <c r="H173" s="13">
        <v>138.972</v>
      </c>
      <c r="I173" s="13">
        <v>732.742</v>
      </c>
      <c r="J173" s="13">
        <v>85.094</v>
      </c>
      <c r="K173" s="13">
        <v>153.283</v>
      </c>
      <c r="L173" s="13">
        <v>105.334</v>
      </c>
      <c r="M173" s="13">
        <v>181.691</v>
      </c>
      <c r="N173" s="13">
        <v>158.653</v>
      </c>
      <c r="O173" s="13">
        <v>124.13</v>
      </c>
      <c r="P173" s="13">
        <v>1208.89</v>
      </c>
      <c r="Q173" s="49">
        <f t="shared" si="14"/>
        <v>1945.875</v>
      </c>
      <c r="R173" s="13">
        <v>1441.495</v>
      </c>
      <c r="S173" s="13">
        <v>342.873</v>
      </c>
      <c r="T173" s="13">
        <v>161.507</v>
      </c>
      <c r="U173" s="49">
        <v>1352.032</v>
      </c>
      <c r="V173" s="49">
        <f t="shared" si="15"/>
        <v>1356.487</v>
      </c>
      <c r="W173" s="13">
        <v>1270.005</v>
      </c>
      <c r="X173" s="13">
        <v>6.686</v>
      </c>
      <c r="Y173" s="13">
        <v>79.796</v>
      </c>
      <c r="Z173" s="49">
        <v>91.23</v>
      </c>
      <c r="AA173" s="49">
        <f t="shared" si="16"/>
        <v>5117.54</v>
      </c>
      <c r="AB173" s="13">
        <v>1356.603</v>
      </c>
      <c r="AC173" s="13">
        <v>0.449</v>
      </c>
      <c r="AD173" s="13">
        <v>2021.961</v>
      </c>
      <c r="AE173" s="13">
        <v>1738.527</v>
      </c>
      <c r="AF173" s="49">
        <v>2750.372</v>
      </c>
      <c r="AG173" s="49">
        <v>0</v>
      </c>
      <c r="AH173" s="49">
        <v>2987.678</v>
      </c>
      <c r="AI173" s="49">
        <v>127.333</v>
      </c>
      <c r="AJ173" s="49">
        <v>4576.592</v>
      </c>
      <c r="AK173" s="49">
        <v>11450.601</v>
      </c>
      <c r="AL173" s="49">
        <v>84.929</v>
      </c>
      <c r="AM173" s="14">
        <f t="shared" si="17"/>
        <v>36724.92</v>
      </c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8"/>
      <c r="ED173" s="18"/>
      <c r="EE173" s="18"/>
      <c r="EF173" s="18"/>
      <c r="EG173" s="18"/>
      <c r="EH173" s="18"/>
      <c r="EI173" s="18"/>
      <c r="EJ173" s="18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</row>
    <row r="174" spans="1:159" s="19" customFormat="1" ht="15">
      <c r="A174" s="22">
        <v>36433</v>
      </c>
      <c r="B174" s="49">
        <f t="shared" si="12"/>
        <v>1792.347</v>
      </c>
      <c r="C174" s="13">
        <v>1674.182</v>
      </c>
      <c r="D174" s="13">
        <v>116.153</v>
      </c>
      <c r="E174" s="13">
        <v>2.012</v>
      </c>
      <c r="F174" s="49">
        <v>90.965</v>
      </c>
      <c r="G174" s="49">
        <f t="shared" si="13"/>
        <v>2919.433</v>
      </c>
      <c r="H174" s="13">
        <v>355.529</v>
      </c>
      <c r="I174" s="13">
        <v>749.518</v>
      </c>
      <c r="J174" s="13">
        <v>81.202</v>
      </c>
      <c r="K174" s="13">
        <v>166.988</v>
      </c>
      <c r="L174" s="13">
        <v>110.621</v>
      </c>
      <c r="M174" s="13">
        <v>179.082</v>
      </c>
      <c r="N174" s="13">
        <v>160.214</v>
      </c>
      <c r="O174" s="13">
        <v>100.482</v>
      </c>
      <c r="P174" s="13">
        <v>1015.797</v>
      </c>
      <c r="Q174" s="49">
        <f t="shared" si="14"/>
        <v>2126.292</v>
      </c>
      <c r="R174" s="13">
        <v>1607.008</v>
      </c>
      <c r="S174" s="13">
        <v>357.04</v>
      </c>
      <c r="T174" s="13">
        <v>162.244</v>
      </c>
      <c r="U174" s="49">
        <v>1398.053</v>
      </c>
      <c r="V174" s="49">
        <f t="shared" si="15"/>
        <v>1362.969</v>
      </c>
      <c r="W174" s="13">
        <v>1297.435</v>
      </c>
      <c r="X174" s="13">
        <v>4.529</v>
      </c>
      <c r="Y174" s="13">
        <v>61.005</v>
      </c>
      <c r="Z174" s="49">
        <v>94.32</v>
      </c>
      <c r="AA174" s="49">
        <f t="shared" si="16"/>
        <v>4722.203</v>
      </c>
      <c r="AB174" s="13">
        <v>1409.588</v>
      </c>
      <c r="AC174" s="13">
        <v>0.198</v>
      </c>
      <c r="AD174" s="13">
        <v>1562.978</v>
      </c>
      <c r="AE174" s="13">
        <v>1749.439</v>
      </c>
      <c r="AF174" s="49">
        <v>2875.824</v>
      </c>
      <c r="AG174" s="49">
        <v>0</v>
      </c>
      <c r="AH174" s="49">
        <v>3008.524</v>
      </c>
      <c r="AI174" s="49">
        <v>125.431</v>
      </c>
      <c r="AJ174" s="49">
        <v>4665.846</v>
      </c>
      <c r="AK174" s="49">
        <v>11052.452</v>
      </c>
      <c r="AL174" s="49">
        <v>86.537</v>
      </c>
      <c r="AM174" s="14">
        <f t="shared" si="17"/>
        <v>36321.195999999996</v>
      </c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8"/>
      <c r="ED174" s="18"/>
      <c r="EE174" s="18"/>
      <c r="EF174" s="18"/>
      <c r="EG174" s="18"/>
      <c r="EH174" s="18"/>
      <c r="EI174" s="18"/>
      <c r="EJ174" s="18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</row>
    <row r="175" spans="1:159" s="19" customFormat="1" ht="15">
      <c r="A175" s="22">
        <v>36464</v>
      </c>
      <c r="B175" s="49">
        <f t="shared" si="12"/>
        <v>1847.6229999999998</v>
      </c>
      <c r="C175" s="13">
        <v>1723.692</v>
      </c>
      <c r="D175" s="13">
        <v>121.936</v>
      </c>
      <c r="E175" s="13">
        <v>1.995</v>
      </c>
      <c r="F175" s="49">
        <v>88.416</v>
      </c>
      <c r="G175" s="49">
        <f t="shared" si="13"/>
        <v>3032.746</v>
      </c>
      <c r="H175" s="13">
        <v>369.055</v>
      </c>
      <c r="I175" s="13">
        <v>814.064</v>
      </c>
      <c r="J175" s="13">
        <v>84.565</v>
      </c>
      <c r="K175" s="13">
        <v>158.215</v>
      </c>
      <c r="L175" s="13">
        <v>113.357</v>
      </c>
      <c r="M175" s="13">
        <v>190.788</v>
      </c>
      <c r="N175" s="13">
        <v>162.211</v>
      </c>
      <c r="O175" s="13">
        <v>101.489</v>
      </c>
      <c r="P175" s="13">
        <v>1039.002</v>
      </c>
      <c r="Q175" s="49">
        <f t="shared" si="14"/>
        <v>2150.86</v>
      </c>
      <c r="R175" s="13">
        <v>1629.598</v>
      </c>
      <c r="S175" s="13">
        <v>354.018</v>
      </c>
      <c r="T175" s="13">
        <v>167.244</v>
      </c>
      <c r="U175" s="49">
        <v>1298.789</v>
      </c>
      <c r="V175" s="49">
        <f t="shared" si="15"/>
        <v>1413.9299999999998</v>
      </c>
      <c r="W175" s="13">
        <v>1341.465</v>
      </c>
      <c r="X175" s="13">
        <v>9.658</v>
      </c>
      <c r="Y175" s="13">
        <v>62.807</v>
      </c>
      <c r="Z175" s="49">
        <v>67.485</v>
      </c>
      <c r="AA175" s="49">
        <f t="shared" si="16"/>
        <v>5066.183</v>
      </c>
      <c r="AB175" s="13">
        <v>1833.005</v>
      </c>
      <c r="AC175" s="13">
        <v>0.271</v>
      </c>
      <c r="AD175" s="13">
        <v>1423.491</v>
      </c>
      <c r="AE175" s="13">
        <v>1809.416</v>
      </c>
      <c r="AF175" s="49">
        <v>2863.088</v>
      </c>
      <c r="AG175" s="49">
        <v>0</v>
      </c>
      <c r="AH175" s="49">
        <v>3492.685</v>
      </c>
      <c r="AI175" s="49">
        <v>147.007</v>
      </c>
      <c r="AJ175" s="49">
        <v>4760.731</v>
      </c>
      <c r="AK175" s="49">
        <v>10941.614</v>
      </c>
      <c r="AL175" s="49">
        <v>66.391</v>
      </c>
      <c r="AM175" s="14">
        <f t="shared" si="17"/>
        <v>37237.54800000001</v>
      </c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8"/>
      <c r="ED175" s="18"/>
      <c r="EE175" s="18"/>
      <c r="EF175" s="18"/>
      <c r="EG175" s="18"/>
      <c r="EH175" s="18"/>
      <c r="EI175" s="18"/>
      <c r="EJ175" s="18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</row>
    <row r="176" spans="1:159" s="19" customFormat="1" ht="15">
      <c r="A176" s="22">
        <v>36494</v>
      </c>
      <c r="B176" s="49">
        <f t="shared" si="12"/>
        <v>1882.375</v>
      </c>
      <c r="C176" s="13">
        <v>1759.593</v>
      </c>
      <c r="D176" s="13">
        <v>120.78</v>
      </c>
      <c r="E176" s="13">
        <v>2.002</v>
      </c>
      <c r="F176" s="49">
        <v>98.782</v>
      </c>
      <c r="G176" s="49">
        <f t="shared" si="13"/>
        <v>2988.529</v>
      </c>
      <c r="H176" s="13">
        <v>138.385</v>
      </c>
      <c r="I176" s="13">
        <v>878.223</v>
      </c>
      <c r="J176" s="13">
        <v>84.174</v>
      </c>
      <c r="K176" s="13">
        <v>130.334</v>
      </c>
      <c r="L176" s="13">
        <v>126.887</v>
      </c>
      <c r="M176" s="13">
        <v>189.948</v>
      </c>
      <c r="N176" s="13">
        <v>172.878</v>
      </c>
      <c r="O176" s="13">
        <v>104.692</v>
      </c>
      <c r="P176" s="13">
        <v>1163.008</v>
      </c>
      <c r="Q176" s="49">
        <f t="shared" si="14"/>
        <v>2043.4240000000002</v>
      </c>
      <c r="R176" s="13">
        <v>1531.082</v>
      </c>
      <c r="S176" s="13">
        <v>349.574</v>
      </c>
      <c r="T176" s="13">
        <v>162.768</v>
      </c>
      <c r="U176" s="49">
        <v>1251.943</v>
      </c>
      <c r="V176" s="49">
        <f t="shared" si="15"/>
        <v>1427.034</v>
      </c>
      <c r="W176" s="13">
        <v>1362.905</v>
      </c>
      <c r="X176" s="13">
        <v>6.429</v>
      </c>
      <c r="Y176" s="13">
        <v>57.7</v>
      </c>
      <c r="Z176" s="49">
        <v>80.363</v>
      </c>
      <c r="AA176" s="49">
        <f t="shared" si="16"/>
        <v>5660.346</v>
      </c>
      <c r="AB176" s="13">
        <v>1710.731</v>
      </c>
      <c r="AC176" s="13">
        <v>0.171</v>
      </c>
      <c r="AD176" s="13">
        <v>1866.898</v>
      </c>
      <c r="AE176" s="13">
        <v>2082.546</v>
      </c>
      <c r="AF176" s="49">
        <v>2991.669</v>
      </c>
      <c r="AG176" s="49">
        <v>0</v>
      </c>
      <c r="AH176" s="49">
        <v>3473.03</v>
      </c>
      <c r="AI176" s="49">
        <v>147.98</v>
      </c>
      <c r="AJ176" s="49">
        <v>4745.318</v>
      </c>
      <c r="AK176" s="49">
        <v>11281.728</v>
      </c>
      <c r="AL176" s="49">
        <v>62.196</v>
      </c>
      <c r="AM176" s="14">
        <f t="shared" si="17"/>
        <v>38134.717</v>
      </c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8"/>
      <c r="ED176" s="18"/>
      <c r="EE176" s="18"/>
      <c r="EF176" s="18"/>
      <c r="EG176" s="18"/>
      <c r="EH176" s="18"/>
      <c r="EI176" s="18"/>
      <c r="EJ176" s="18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</row>
    <row r="177" spans="1:159" s="19" customFormat="1" ht="15">
      <c r="A177" s="22">
        <v>36525</v>
      </c>
      <c r="B177" s="49">
        <f t="shared" si="12"/>
        <v>1589.0900000000001</v>
      </c>
      <c r="C177" s="13">
        <v>1446.509</v>
      </c>
      <c r="D177" s="13">
        <v>140.547</v>
      </c>
      <c r="E177" s="13">
        <v>2.034</v>
      </c>
      <c r="F177" s="49">
        <v>98.706</v>
      </c>
      <c r="G177" s="49">
        <f t="shared" si="13"/>
        <v>2992.362</v>
      </c>
      <c r="H177" s="13">
        <v>81.448</v>
      </c>
      <c r="I177" s="13">
        <v>920.995</v>
      </c>
      <c r="J177" s="13">
        <v>111.143</v>
      </c>
      <c r="K177" s="13">
        <v>132.965</v>
      </c>
      <c r="L177" s="13">
        <v>112.472</v>
      </c>
      <c r="M177" s="13">
        <v>193.691</v>
      </c>
      <c r="N177" s="13">
        <v>179.024</v>
      </c>
      <c r="O177" s="13">
        <v>99.279</v>
      </c>
      <c r="P177" s="13">
        <v>1161.345</v>
      </c>
      <c r="Q177" s="49">
        <f t="shared" si="14"/>
        <v>2029.0140000000001</v>
      </c>
      <c r="R177" s="13">
        <v>1530.152</v>
      </c>
      <c r="S177" s="13">
        <v>337.49</v>
      </c>
      <c r="T177" s="13">
        <v>161.372</v>
      </c>
      <c r="U177" s="49">
        <v>1260.903</v>
      </c>
      <c r="V177" s="49">
        <f t="shared" si="15"/>
        <v>1445.874</v>
      </c>
      <c r="W177" s="13">
        <v>1388.637</v>
      </c>
      <c r="X177" s="13">
        <v>1.986</v>
      </c>
      <c r="Y177" s="13">
        <v>55.251</v>
      </c>
      <c r="Z177" s="49">
        <v>66.539</v>
      </c>
      <c r="AA177" s="49">
        <f t="shared" si="16"/>
        <v>4894.041</v>
      </c>
      <c r="AB177" s="13">
        <v>1658.344</v>
      </c>
      <c r="AC177" s="13">
        <v>0.158</v>
      </c>
      <c r="AD177" s="13">
        <v>1848.951</v>
      </c>
      <c r="AE177" s="13">
        <v>1386.588</v>
      </c>
      <c r="AF177" s="49">
        <v>2833.062</v>
      </c>
      <c r="AG177" s="49">
        <v>0</v>
      </c>
      <c r="AH177" s="49">
        <v>3560.65</v>
      </c>
      <c r="AI177" s="49">
        <v>151.309</v>
      </c>
      <c r="AJ177" s="49">
        <v>4507.343</v>
      </c>
      <c r="AK177" s="49">
        <v>11225.044</v>
      </c>
      <c r="AL177" s="49">
        <v>65.13</v>
      </c>
      <c r="AM177" s="14">
        <f t="shared" si="17"/>
        <v>36719.067</v>
      </c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8"/>
      <c r="ED177" s="18"/>
      <c r="EE177" s="18"/>
      <c r="EF177" s="18"/>
      <c r="EG177" s="18"/>
      <c r="EH177" s="18"/>
      <c r="EI177" s="18"/>
      <c r="EJ177" s="18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</row>
    <row r="178" spans="1:159" s="19" customFormat="1" ht="15">
      <c r="A178" s="22">
        <v>36556</v>
      </c>
      <c r="B178" s="49">
        <f t="shared" si="12"/>
        <v>1535.6490000000001</v>
      </c>
      <c r="C178" s="13">
        <v>1411.609</v>
      </c>
      <c r="D178" s="13">
        <v>122.025</v>
      </c>
      <c r="E178" s="13">
        <v>2.015</v>
      </c>
      <c r="F178" s="49">
        <v>121.346</v>
      </c>
      <c r="G178" s="49">
        <f t="shared" si="13"/>
        <v>2602.104</v>
      </c>
      <c r="H178" s="13">
        <v>64.456</v>
      </c>
      <c r="I178" s="13">
        <v>872.364</v>
      </c>
      <c r="J178" s="13">
        <v>81.44</v>
      </c>
      <c r="K178" s="13">
        <v>122.822</v>
      </c>
      <c r="L178" s="13">
        <v>121.23</v>
      </c>
      <c r="M178" s="13">
        <v>182.226</v>
      </c>
      <c r="N178" s="13">
        <v>162.388</v>
      </c>
      <c r="O178" s="13">
        <v>120.943</v>
      </c>
      <c r="P178" s="13">
        <v>874.235</v>
      </c>
      <c r="Q178" s="49">
        <f t="shared" si="14"/>
        <v>1960.0829999999999</v>
      </c>
      <c r="R178" s="13">
        <v>1472.042</v>
      </c>
      <c r="S178" s="13">
        <v>331.462</v>
      </c>
      <c r="T178" s="13">
        <v>156.579</v>
      </c>
      <c r="U178" s="49">
        <v>1359.491</v>
      </c>
      <c r="V178" s="49">
        <f t="shared" si="15"/>
        <v>1463.862</v>
      </c>
      <c r="W178" s="13">
        <v>1418.156</v>
      </c>
      <c r="X178" s="13">
        <v>1.428</v>
      </c>
      <c r="Y178" s="13">
        <v>44.278</v>
      </c>
      <c r="Z178" s="49">
        <v>96.677</v>
      </c>
      <c r="AA178" s="49">
        <f t="shared" si="16"/>
        <v>5361.635</v>
      </c>
      <c r="AB178" s="13">
        <v>1890.959</v>
      </c>
      <c r="AC178" s="13">
        <v>0.306</v>
      </c>
      <c r="AD178" s="13">
        <v>2101.716</v>
      </c>
      <c r="AE178" s="13">
        <v>1368.654</v>
      </c>
      <c r="AF178" s="49">
        <v>2786.987</v>
      </c>
      <c r="AG178" s="49">
        <v>0</v>
      </c>
      <c r="AH178" s="49">
        <v>3609.573</v>
      </c>
      <c r="AI178" s="49">
        <v>198.485</v>
      </c>
      <c r="AJ178" s="49">
        <v>4285.282</v>
      </c>
      <c r="AK178" s="49">
        <v>11414.396</v>
      </c>
      <c r="AL178" s="49">
        <v>67.019</v>
      </c>
      <c r="AM178" s="14">
        <f t="shared" si="17"/>
        <v>36862.589</v>
      </c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8"/>
      <c r="ED178" s="18"/>
      <c r="EE178" s="18"/>
      <c r="EF178" s="18"/>
      <c r="EG178" s="18"/>
      <c r="EH178" s="18"/>
      <c r="EI178" s="18"/>
      <c r="EJ178" s="18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</row>
    <row r="179" spans="1:159" s="19" customFormat="1" ht="15">
      <c r="A179" s="22">
        <v>36585</v>
      </c>
      <c r="B179" s="49">
        <f t="shared" si="12"/>
        <v>1560.741</v>
      </c>
      <c r="C179" s="13">
        <v>1427.431</v>
      </c>
      <c r="D179" s="13">
        <v>131.321</v>
      </c>
      <c r="E179" s="13">
        <v>1.989</v>
      </c>
      <c r="F179" s="49">
        <v>112.893</v>
      </c>
      <c r="G179" s="49">
        <f t="shared" si="13"/>
        <v>2683.558</v>
      </c>
      <c r="H179" s="13">
        <v>58.584</v>
      </c>
      <c r="I179" s="13">
        <v>810.375</v>
      </c>
      <c r="J179" s="13">
        <v>116.548</v>
      </c>
      <c r="K179" s="13">
        <v>124.749</v>
      </c>
      <c r="L179" s="13">
        <v>111.582</v>
      </c>
      <c r="M179" s="13">
        <v>177.266</v>
      </c>
      <c r="N179" s="13">
        <v>167.042</v>
      </c>
      <c r="O179" s="13">
        <v>203.989</v>
      </c>
      <c r="P179" s="13">
        <v>913.423</v>
      </c>
      <c r="Q179" s="49">
        <f t="shared" si="14"/>
        <v>2221.07</v>
      </c>
      <c r="R179" s="13">
        <v>1729.506</v>
      </c>
      <c r="S179" s="13">
        <v>337.071</v>
      </c>
      <c r="T179" s="13">
        <v>154.493</v>
      </c>
      <c r="U179" s="49">
        <v>1139.884</v>
      </c>
      <c r="V179" s="49">
        <f t="shared" si="15"/>
        <v>1421.5620000000001</v>
      </c>
      <c r="W179" s="13">
        <v>1381.178</v>
      </c>
      <c r="X179" s="13">
        <v>2.19</v>
      </c>
      <c r="Y179" s="13">
        <v>38.194</v>
      </c>
      <c r="Z179" s="49">
        <v>57.969</v>
      </c>
      <c r="AA179" s="49">
        <f t="shared" si="16"/>
        <v>5073.469999999999</v>
      </c>
      <c r="AB179" s="13">
        <v>1927.396</v>
      </c>
      <c r="AC179" s="13">
        <v>0.181</v>
      </c>
      <c r="AD179" s="13">
        <v>1878.355</v>
      </c>
      <c r="AE179" s="13">
        <v>1267.538</v>
      </c>
      <c r="AF179" s="49">
        <v>2793.347</v>
      </c>
      <c r="AG179" s="49">
        <v>0</v>
      </c>
      <c r="AH179" s="49">
        <v>3902.809</v>
      </c>
      <c r="AI179" s="49">
        <v>229.055</v>
      </c>
      <c r="AJ179" s="49">
        <v>4426.446</v>
      </c>
      <c r="AK179" s="49">
        <v>11168.336</v>
      </c>
      <c r="AL179" s="49">
        <v>61.653</v>
      </c>
      <c r="AM179" s="14">
        <f t="shared" si="17"/>
        <v>36852.793</v>
      </c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8"/>
      <c r="ED179" s="18"/>
      <c r="EE179" s="18"/>
      <c r="EF179" s="18"/>
      <c r="EG179" s="18"/>
      <c r="EH179" s="18"/>
      <c r="EI179" s="18"/>
      <c r="EJ179" s="18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</row>
    <row r="180" spans="1:159" s="19" customFormat="1" ht="15">
      <c r="A180" s="22">
        <v>36616</v>
      </c>
      <c r="B180" s="49">
        <f t="shared" si="12"/>
        <v>1664.3820000000003</v>
      </c>
      <c r="C180" s="13">
        <v>1526.111</v>
      </c>
      <c r="D180" s="13">
        <v>136.371</v>
      </c>
      <c r="E180" s="13">
        <v>1.9</v>
      </c>
      <c r="F180" s="49">
        <v>113.252</v>
      </c>
      <c r="G180" s="49">
        <f t="shared" si="13"/>
        <v>2895.334</v>
      </c>
      <c r="H180" s="13">
        <v>57.061</v>
      </c>
      <c r="I180" s="13">
        <v>816.85</v>
      </c>
      <c r="J180" s="13">
        <v>116.901</v>
      </c>
      <c r="K180" s="13">
        <v>121.009</v>
      </c>
      <c r="L180" s="13">
        <v>117.361</v>
      </c>
      <c r="M180" s="13">
        <v>182.778</v>
      </c>
      <c r="N180" s="13">
        <v>235.491</v>
      </c>
      <c r="O180" s="13">
        <v>282.083</v>
      </c>
      <c r="P180" s="13">
        <v>965.8</v>
      </c>
      <c r="Q180" s="49">
        <f t="shared" si="14"/>
        <v>1841.385</v>
      </c>
      <c r="R180" s="13">
        <v>1358.666</v>
      </c>
      <c r="S180" s="13">
        <v>330.823</v>
      </c>
      <c r="T180" s="13">
        <v>151.896</v>
      </c>
      <c r="U180" s="49">
        <v>2036.383</v>
      </c>
      <c r="V180" s="49">
        <f t="shared" si="15"/>
        <v>1493.599</v>
      </c>
      <c r="W180" s="13">
        <v>1454.002</v>
      </c>
      <c r="X180" s="13">
        <v>2.006</v>
      </c>
      <c r="Y180" s="13">
        <v>37.591</v>
      </c>
      <c r="Z180" s="49">
        <v>74.81</v>
      </c>
      <c r="AA180" s="49">
        <f t="shared" si="16"/>
        <v>5275.32</v>
      </c>
      <c r="AB180" s="13">
        <v>2127.814</v>
      </c>
      <c r="AC180" s="13">
        <v>0.639</v>
      </c>
      <c r="AD180" s="13">
        <v>1848.721</v>
      </c>
      <c r="AE180" s="13">
        <v>1298.146</v>
      </c>
      <c r="AF180" s="49">
        <v>2799.293</v>
      </c>
      <c r="AG180" s="49">
        <v>0</v>
      </c>
      <c r="AH180" s="49">
        <v>4118.326</v>
      </c>
      <c r="AI180" s="49">
        <v>224.187</v>
      </c>
      <c r="AJ180" s="49">
        <v>4564.647</v>
      </c>
      <c r="AK180" s="49">
        <v>11090.664</v>
      </c>
      <c r="AL180" s="49">
        <v>69.19</v>
      </c>
      <c r="AM180" s="14">
        <f t="shared" si="17"/>
        <v>38260.77200000001</v>
      </c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8"/>
      <c r="ED180" s="18"/>
      <c r="EE180" s="18"/>
      <c r="EF180" s="18"/>
      <c r="EG180" s="18"/>
      <c r="EH180" s="18"/>
      <c r="EI180" s="18"/>
      <c r="EJ180" s="18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</row>
    <row r="181" spans="1:159" s="19" customFormat="1" ht="15">
      <c r="A181" s="22">
        <v>36646</v>
      </c>
      <c r="B181" s="49">
        <f t="shared" si="12"/>
        <v>1616.115</v>
      </c>
      <c r="C181" s="13">
        <v>1485.788</v>
      </c>
      <c r="D181" s="13">
        <v>128.404</v>
      </c>
      <c r="E181" s="13">
        <v>1.923</v>
      </c>
      <c r="F181" s="49">
        <v>111.307</v>
      </c>
      <c r="G181" s="49">
        <f t="shared" si="13"/>
        <v>2703.326</v>
      </c>
      <c r="H181" s="13">
        <v>39.632</v>
      </c>
      <c r="I181" s="13">
        <v>523.502</v>
      </c>
      <c r="J181" s="13">
        <v>109.702</v>
      </c>
      <c r="K181" s="13">
        <v>141.778</v>
      </c>
      <c r="L181" s="13">
        <v>129.95</v>
      </c>
      <c r="M181" s="13">
        <v>111.411</v>
      </c>
      <c r="N181" s="13">
        <v>263.112</v>
      </c>
      <c r="O181" s="13">
        <v>95.826</v>
      </c>
      <c r="P181" s="13">
        <v>1288.413</v>
      </c>
      <c r="Q181" s="49">
        <f t="shared" si="14"/>
        <v>1897.6309999999999</v>
      </c>
      <c r="R181" s="13">
        <v>1419.413</v>
      </c>
      <c r="S181" s="13">
        <v>333.169</v>
      </c>
      <c r="T181" s="13">
        <v>145.049</v>
      </c>
      <c r="U181" s="49">
        <v>1965.204</v>
      </c>
      <c r="V181" s="49">
        <f t="shared" si="15"/>
        <v>1487.621</v>
      </c>
      <c r="W181" s="13">
        <v>1443.832</v>
      </c>
      <c r="X181" s="13">
        <v>5.115</v>
      </c>
      <c r="Y181" s="13">
        <v>38.674</v>
      </c>
      <c r="Z181" s="49">
        <v>61.775</v>
      </c>
      <c r="AA181" s="49">
        <f t="shared" si="16"/>
        <v>5287.869000000001</v>
      </c>
      <c r="AB181" s="13">
        <v>2069.099</v>
      </c>
      <c r="AC181" s="13">
        <v>0.101</v>
      </c>
      <c r="AD181" s="13">
        <v>2013.019</v>
      </c>
      <c r="AE181" s="13">
        <v>1205.65</v>
      </c>
      <c r="AF181" s="49">
        <v>3231.953</v>
      </c>
      <c r="AG181" s="49">
        <v>0</v>
      </c>
      <c r="AH181" s="49">
        <v>4030.886</v>
      </c>
      <c r="AI181" s="49">
        <v>226.331</v>
      </c>
      <c r="AJ181" s="49">
        <v>4571.541</v>
      </c>
      <c r="AK181" s="49">
        <v>11215.716</v>
      </c>
      <c r="AL181" s="49">
        <v>63.215</v>
      </c>
      <c r="AM181" s="14">
        <f t="shared" si="17"/>
        <v>38470.48999999999</v>
      </c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8"/>
      <c r="ED181" s="18"/>
      <c r="EE181" s="18"/>
      <c r="EF181" s="18"/>
      <c r="EG181" s="18"/>
      <c r="EH181" s="18"/>
      <c r="EI181" s="18"/>
      <c r="EJ181" s="18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</row>
    <row r="182" spans="1:159" s="19" customFormat="1" ht="15">
      <c r="A182" s="22">
        <v>36677</v>
      </c>
      <c r="B182" s="49">
        <f t="shared" si="12"/>
        <v>1611.951</v>
      </c>
      <c r="C182" s="13">
        <v>1498.092</v>
      </c>
      <c r="D182" s="13">
        <v>112.07</v>
      </c>
      <c r="E182" s="13">
        <v>1.789</v>
      </c>
      <c r="F182" s="49">
        <v>101.121</v>
      </c>
      <c r="G182" s="49">
        <f t="shared" si="13"/>
        <v>2658.4120000000003</v>
      </c>
      <c r="H182" s="13">
        <v>41.022</v>
      </c>
      <c r="I182" s="13">
        <v>534.91</v>
      </c>
      <c r="J182" s="13">
        <v>107.294</v>
      </c>
      <c r="K182" s="13">
        <v>119.862</v>
      </c>
      <c r="L182" s="13">
        <v>135.747</v>
      </c>
      <c r="M182" s="13">
        <v>106.335</v>
      </c>
      <c r="N182" s="13">
        <v>231.818</v>
      </c>
      <c r="O182" s="13">
        <v>121.479</v>
      </c>
      <c r="P182" s="13">
        <v>1259.945</v>
      </c>
      <c r="Q182" s="49">
        <f t="shared" si="14"/>
        <v>1874.1970000000001</v>
      </c>
      <c r="R182" s="13">
        <v>1396.616</v>
      </c>
      <c r="S182" s="13">
        <v>327.701</v>
      </c>
      <c r="T182" s="13">
        <v>149.88</v>
      </c>
      <c r="U182" s="49">
        <v>1931.62</v>
      </c>
      <c r="V182" s="49">
        <f t="shared" si="15"/>
        <v>1398.095</v>
      </c>
      <c r="W182" s="13">
        <v>1358.474</v>
      </c>
      <c r="X182" s="13">
        <v>1.824</v>
      </c>
      <c r="Y182" s="13">
        <v>37.797</v>
      </c>
      <c r="Z182" s="49">
        <v>63.091</v>
      </c>
      <c r="AA182" s="49">
        <f t="shared" si="16"/>
        <v>5187.79</v>
      </c>
      <c r="AB182" s="13">
        <v>2074.459</v>
      </c>
      <c r="AC182" s="13">
        <v>0.084</v>
      </c>
      <c r="AD182" s="13">
        <v>1872.692</v>
      </c>
      <c r="AE182" s="13">
        <v>1240.555</v>
      </c>
      <c r="AF182" s="49">
        <v>3242.292</v>
      </c>
      <c r="AG182" s="49">
        <v>0</v>
      </c>
      <c r="AH182" s="49">
        <v>4479.506</v>
      </c>
      <c r="AI182" s="49">
        <v>258.986</v>
      </c>
      <c r="AJ182" s="49">
        <v>4578.981</v>
      </c>
      <c r="AK182" s="49">
        <v>11273.165</v>
      </c>
      <c r="AL182" s="49">
        <v>59.583</v>
      </c>
      <c r="AM182" s="14">
        <f t="shared" si="17"/>
        <v>38718.79000000001</v>
      </c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8"/>
      <c r="ED182" s="18"/>
      <c r="EE182" s="18"/>
      <c r="EF182" s="18"/>
      <c r="EG182" s="18"/>
      <c r="EH182" s="18"/>
      <c r="EI182" s="18"/>
      <c r="EJ182" s="18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</row>
    <row r="183" spans="1:159" s="19" customFormat="1" ht="15">
      <c r="A183" s="22">
        <v>36707</v>
      </c>
      <c r="B183" s="49">
        <f t="shared" si="12"/>
        <v>1820.6260000000002</v>
      </c>
      <c r="C183" s="13">
        <v>1680.967</v>
      </c>
      <c r="D183" s="13">
        <v>137.075</v>
      </c>
      <c r="E183" s="13">
        <v>2.584</v>
      </c>
      <c r="F183" s="49">
        <v>93.423</v>
      </c>
      <c r="G183" s="49">
        <f t="shared" si="13"/>
        <v>2830.286</v>
      </c>
      <c r="H183" s="13">
        <v>53.488</v>
      </c>
      <c r="I183" s="13">
        <v>860.332</v>
      </c>
      <c r="J183" s="13">
        <v>148.522</v>
      </c>
      <c r="K183" s="13">
        <v>101.54</v>
      </c>
      <c r="L183" s="13">
        <v>135.972</v>
      </c>
      <c r="M183" s="13">
        <v>169.384</v>
      </c>
      <c r="N183" s="13">
        <v>233.865</v>
      </c>
      <c r="O183" s="13">
        <v>97.704</v>
      </c>
      <c r="P183" s="13">
        <v>1029.479</v>
      </c>
      <c r="Q183" s="49">
        <f t="shared" si="14"/>
        <v>1853.228</v>
      </c>
      <c r="R183" s="13">
        <v>1489.756</v>
      </c>
      <c r="S183" s="13">
        <v>295.28</v>
      </c>
      <c r="T183" s="13">
        <v>68.192</v>
      </c>
      <c r="U183" s="49">
        <v>1759.376</v>
      </c>
      <c r="V183" s="49">
        <f t="shared" si="15"/>
        <v>1394.218</v>
      </c>
      <c r="W183" s="13">
        <v>1344.423</v>
      </c>
      <c r="X183" s="13">
        <v>1.594</v>
      </c>
      <c r="Y183" s="13">
        <v>48.201</v>
      </c>
      <c r="Z183" s="49">
        <v>77.824</v>
      </c>
      <c r="AA183" s="49">
        <f t="shared" si="16"/>
        <v>5398.823</v>
      </c>
      <c r="AB183" s="13">
        <v>2134.38</v>
      </c>
      <c r="AC183" s="13">
        <v>0.356</v>
      </c>
      <c r="AD183" s="13">
        <v>1911.649</v>
      </c>
      <c r="AE183" s="13">
        <v>1352.438</v>
      </c>
      <c r="AF183" s="49">
        <v>3481.969</v>
      </c>
      <c r="AG183" s="49">
        <v>0</v>
      </c>
      <c r="AH183" s="49">
        <v>4790.503</v>
      </c>
      <c r="AI183" s="49">
        <v>288.434</v>
      </c>
      <c r="AJ183" s="49">
        <v>4446.041</v>
      </c>
      <c r="AK183" s="49">
        <v>10455.974</v>
      </c>
      <c r="AL183" s="49">
        <v>64.214</v>
      </c>
      <c r="AM183" s="14">
        <f t="shared" si="17"/>
        <v>38754.939000000006</v>
      </c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8"/>
      <c r="ED183" s="18"/>
      <c r="EE183" s="18"/>
      <c r="EF183" s="18"/>
      <c r="EG183" s="18"/>
      <c r="EH183" s="18"/>
      <c r="EI183" s="18"/>
      <c r="EJ183" s="18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</row>
    <row r="184" spans="1:159" s="19" customFormat="1" ht="15">
      <c r="A184" s="22">
        <v>36738</v>
      </c>
      <c r="B184" s="49">
        <f t="shared" si="12"/>
        <v>1733.656</v>
      </c>
      <c r="C184" s="13">
        <v>1622.186</v>
      </c>
      <c r="D184" s="13">
        <v>108.993</v>
      </c>
      <c r="E184" s="13">
        <v>2.477</v>
      </c>
      <c r="F184" s="49">
        <v>97.233</v>
      </c>
      <c r="G184" s="49">
        <f t="shared" si="13"/>
        <v>2790.943</v>
      </c>
      <c r="H184" s="13">
        <v>53.004</v>
      </c>
      <c r="I184" s="13">
        <v>769.774</v>
      </c>
      <c r="J184" s="13">
        <v>143.422</v>
      </c>
      <c r="K184" s="13">
        <v>190.117</v>
      </c>
      <c r="L184" s="13">
        <v>132.157</v>
      </c>
      <c r="M184" s="13">
        <v>200.091</v>
      </c>
      <c r="N184" s="13">
        <v>234.979</v>
      </c>
      <c r="O184" s="13">
        <v>90.083</v>
      </c>
      <c r="P184" s="13">
        <v>977.316</v>
      </c>
      <c r="Q184" s="49">
        <f t="shared" si="14"/>
        <v>1802.553</v>
      </c>
      <c r="R184" s="13">
        <v>1447.844</v>
      </c>
      <c r="S184" s="13">
        <v>290.601</v>
      </c>
      <c r="T184" s="13">
        <v>64.108</v>
      </c>
      <c r="U184" s="49">
        <v>1532.29</v>
      </c>
      <c r="V184" s="49">
        <f t="shared" si="15"/>
        <v>1528.67</v>
      </c>
      <c r="W184" s="13">
        <v>1355.366</v>
      </c>
      <c r="X184" s="13">
        <v>8.238</v>
      </c>
      <c r="Y184" s="13">
        <v>165.066</v>
      </c>
      <c r="Z184" s="49">
        <v>246.208</v>
      </c>
      <c r="AA184" s="49">
        <f t="shared" si="16"/>
        <v>5792.688000000001</v>
      </c>
      <c r="AB184" s="13">
        <v>2097.023</v>
      </c>
      <c r="AC184" s="13">
        <v>0</v>
      </c>
      <c r="AD184" s="13">
        <v>2339.15</v>
      </c>
      <c r="AE184" s="13">
        <v>1356.515</v>
      </c>
      <c r="AF184" s="49">
        <v>3331.299</v>
      </c>
      <c r="AG184" s="49">
        <v>0</v>
      </c>
      <c r="AH184" s="49">
        <v>4893.218</v>
      </c>
      <c r="AI184" s="49">
        <v>326.982</v>
      </c>
      <c r="AJ184" s="49">
        <v>4469.494</v>
      </c>
      <c r="AK184" s="49">
        <v>10398.089</v>
      </c>
      <c r="AL184" s="49">
        <v>60.938</v>
      </c>
      <c r="AM184" s="14">
        <f t="shared" si="17"/>
        <v>39004.261000000006</v>
      </c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8"/>
      <c r="ED184" s="18"/>
      <c r="EE184" s="18"/>
      <c r="EF184" s="18"/>
      <c r="EG184" s="18"/>
      <c r="EH184" s="18"/>
      <c r="EI184" s="18"/>
      <c r="EJ184" s="18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</row>
    <row r="185" spans="1:159" s="19" customFormat="1" ht="15">
      <c r="A185" s="22">
        <v>36769</v>
      </c>
      <c r="B185" s="49">
        <f t="shared" si="12"/>
        <v>1571.727</v>
      </c>
      <c r="C185" s="13">
        <v>1456.529</v>
      </c>
      <c r="D185" s="13">
        <v>112.683</v>
      </c>
      <c r="E185" s="13">
        <v>2.515</v>
      </c>
      <c r="F185" s="49">
        <v>94.422</v>
      </c>
      <c r="G185" s="49">
        <f t="shared" si="13"/>
        <v>2973.219</v>
      </c>
      <c r="H185" s="13">
        <v>90.883</v>
      </c>
      <c r="I185" s="13">
        <v>827.955</v>
      </c>
      <c r="J185" s="13">
        <v>160.425</v>
      </c>
      <c r="K185" s="13">
        <v>199.931</v>
      </c>
      <c r="L185" s="13">
        <v>133.757</v>
      </c>
      <c r="M185" s="13">
        <v>204.448</v>
      </c>
      <c r="N185" s="13">
        <v>266.012</v>
      </c>
      <c r="O185" s="13">
        <v>87.143</v>
      </c>
      <c r="P185" s="13">
        <v>1002.665</v>
      </c>
      <c r="Q185" s="49">
        <f t="shared" si="14"/>
        <v>1800.803</v>
      </c>
      <c r="R185" s="13">
        <v>1516.057</v>
      </c>
      <c r="S185" s="13">
        <v>219.824</v>
      </c>
      <c r="T185" s="13">
        <v>64.922</v>
      </c>
      <c r="U185" s="49">
        <v>1506.267</v>
      </c>
      <c r="V185" s="49">
        <f t="shared" si="15"/>
        <v>1589.894</v>
      </c>
      <c r="W185" s="13">
        <v>1397.221</v>
      </c>
      <c r="X185" s="13">
        <v>8.587</v>
      </c>
      <c r="Y185" s="13">
        <v>184.086</v>
      </c>
      <c r="Z185" s="49">
        <v>213.753</v>
      </c>
      <c r="AA185" s="49">
        <f t="shared" si="16"/>
        <v>5622.12</v>
      </c>
      <c r="AB185" s="13">
        <v>2127.082</v>
      </c>
      <c r="AC185" s="13">
        <v>0</v>
      </c>
      <c r="AD185" s="13">
        <v>2528.47</v>
      </c>
      <c r="AE185" s="13">
        <v>966.568</v>
      </c>
      <c r="AF185" s="49">
        <v>3284.588</v>
      </c>
      <c r="AG185" s="49">
        <v>0</v>
      </c>
      <c r="AH185" s="49">
        <v>4905.769</v>
      </c>
      <c r="AI185" s="49">
        <v>157.792</v>
      </c>
      <c r="AJ185" s="49">
        <v>4371.796</v>
      </c>
      <c r="AK185" s="49">
        <v>10469.353</v>
      </c>
      <c r="AL185" s="49">
        <v>61.162</v>
      </c>
      <c r="AM185" s="14">
        <f t="shared" si="17"/>
        <v>38622.66499999999</v>
      </c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8"/>
      <c r="ED185" s="18"/>
      <c r="EE185" s="18"/>
      <c r="EF185" s="18"/>
      <c r="EG185" s="18"/>
      <c r="EH185" s="18"/>
      <c r="EI185" s="18"/>
      <c r="EJ185" s="18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</row>
    <row r="186" spans="1:159" s="19" customFormat="1" ht="15">
      <c r="A186" s="22">
        <v>36799</v>
      </c>
      <c r="B186" s="49">
        <f t="shared" si="12"/>
        <v>1596.2310000000002</v>
      </c>
      <c r="C186" s="13">
        <v>1480.515</v>
      </c>
      <c r="D186" s="13">
        <v>112.304</v>
      </c>
      <c r="E186" s="13">
        <v>3.412</v>
      </c>
      <c r="F186" s="49">
        <v>82.436</v>
      </c>
      <c r="G186" s="49">
        <f t="shared" si="13"/>
        <v>3089.362</v>
      </c>
      <c r="H186" s="13">
        <v>88.91</v>
      </c>
      <c r="I186" s="13">
        <v>990.713</v>
      </c>
      <c r="J186" s="13">
        <v>134.734</v>
      </c>
      <c r="K186" s="13">
        <v>105.722</v>
      </c>
      <c r="L186" s="13">
        <v>127.282</v>
      </c>
      <c r="M186" s="13">
        <v>181.598</v>
      </c>
      <c r="N186" s="13">
        <v>288.891</v>
      </c>
      <c r="O186" s="13">
        <v>89.353</v>
      </c>
      <c r="P186" s="13">
        <v>1082.159</v>
      </c>
      <c r="Q186" s="49">
        <f t="shared" si="14"/>
        <v>1814.161</v>
      </c>
      <c r="R186" s="13">
        <v>1512.355</v>
      </c>
      <c r="S186" s="13">
        <v>221.737</v>
      </c>
      <c r="T186" s="13">
        <v>80.069</v>
      </c>
      <c r="U186" s="49">
        <v>1520.244</v>
      </c>
      <c r="V186" s="49">
        <f t="shared" si="15"/>
        <v>1664.589</v>
      </c>
      <c r="W186" s="13">
        <v>1461.335</v>
      </c>
      <c r="X186" s="13">
        <v>4.128</v>
      </c>
      <c r="Y186" s="13">
        <v>199.126</v>
      </c>
      <c r="Z186" s="49">
        <v>264.324</v>
      </c>
      <c r="AA186" s="49">
        <f t="shared" si="16"/>
        <v>5909.366</v>
      </c>
      <c r="AB186" s="13">
        <v>2187.88</v>
      </c>
      <c r="AC186" s="13">
        <v>0</v>
      </c>
      <c r="AD186" s="13">
        <v>2872.029</v>
      </c>
      <c r="AE186" s="13">
        <v>849.457</v>
      </c>
      <c r="AF186" s="49">
        <v>3178.602</v>
      </c>
      <c r="AG186" s="49">
        <v>0</v>
      </c>
      <c r="AH186" s="49">
        <v>5064.295</v>
      </c>
      <c r="AI186" s="49">
        <v>166.718</v>
      </c>
      <c r="AJ186" s="49">
        <v>4367.164</v>
      </c>
      <c r="AK186" s="49">
        <v>10605.799</v>
      </c>
      <c r="AL186" s="49">
        <v>67.488</v>
      </c>
      <c r="AM186" s="14">
        <f t="shared" si="17"/>
        <v>39390.779</v>
      </c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8"/>
      <c r="ED186" s="18"/>
      <c r="EE186" s="18"/>
      <c r="EF186" s="18"/>
      <c r="EG186" s="18"/>
      <c r="EH186" s="18"/>
      <c r="EI186" s="18"/>
      <c r="EJ186" s="18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</row>
    <row r="187" spans="1:159" s="19" customFormat="1" ht="15">
      <c r="A187" s="22">
        <v>36830</v>
      </c>
      <c r="B187" s="49">
        <f t="shared" si="12"/>
        <v>1604.4689999999998</v>
      </c>
      <c r="C187" s="13">
        <v>1491.841</v>
      </c>
      <c r="D187" s="13">
        <v>110.29</v>
      </c>
      <c r="E187" s="13">
        <v>2.338</v>
      </c>
      <c r="F187" s="49">
        <v>80.001</v>
      </c>
      <c r="G187" s="49">
        <f t="shared" si="13"/>
        <v>3058.226</v>
      </c>
      <c r="H187" s="13">
        <v>115.277</v>
      </c>
      <c r="I187" s="13">
        <v>980.56</v>
      </c>
      <c r="J187" s="13">
        <v>143.33</v>
      </c>
      <c r="K187" s="13">
        <v>110.255</v>
      </c>
      <c r="L187" s="13">
        <v>127.141</v>
      </c>
      <c r="M187" s="13">
        <v>175.185</v>
      </c>
      <c r="N187" s="13">
        <v>306.599</v>
      </c>
      <c r="O187" s="13">
        <v>88.525</v>
      </c>
      <c r="P187" s="13">
        <v>1011.354</v>
      </c>
      <c r="Q187" s="49">
        <f t="shared" si="14"/>
        <v>1896.6699999999998</v>
      </c>
      <c r="R187" s="13">
        <v>1599.12</v>
      </c>
      <c r="S187" s="13">
        <v>210.614</v>
      </c>
      <c r="T187" s="13">
        <v>86.936</v>
      </c>
      <c r="U187" s="49">
        <v>1274.212</v>
      </c>
      <c r="V187" s="49">
        <f t="shared" si="15"/>
        <v>1492.078</v>
      </c>
      <c r="W187" s="13">
        <v>1423.595</v>
      </c>
      <c r="X187" s="13">
        <v>3.158</v>
      </c>
      <c r="Y187" s="13">
        <v>65.325</v>
      </c>
      <c r="Z187" s="49">
        <v>690.347</v>
      </c>
      <c r="AA187" s="49">
        <f t="shared" si="16"/>
        <v>5879.603</v>
      </c>
      <c r="AB187" s="13">
        <v>2373.711</v>
      </c>
      <c r="AC187" s="13">
        <v>0</v>
      </c>
      <c r="AD187" s="13">
        <v>2767.328</v>
      </c>
      <c r="AE187" s="13">
        <v>738.564</v>
      </c>
      <c r="AF187" s="49">
        <v>3316.527</v>
      </c>
      <c r="AG187" s="49">
        <v>0</v>
      </c>
      <c r="AH187" s="49">
        <v>4956.483</v>
      </c>
      <c r="AI187" s="49">
        <v>155.309</v>
      </c>
      <c r="AJ187" s="49">
        <v>4457.362</v>
      </c>
      <c r="AK187" s="49">
        <v>10640.263</v>
      </c>
      <c r="AL187" s="49">
        <v>57.101</v>
      </c>
      <c r="AM187" s="14">
        <f t="shared" si="17"/>
        <v>39558.651000000005</v>
      </c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8"/>
      <c r="ED187" s="18"/>
      <c r="EE187" s="18"/>
      <c r="EF187" s="18"/>
      <c r="EG187" s="18"/>
      <c r="EH187" s="18"/>
      <c r="EI187" s="18"/>
      <c r="EJ187" s="18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</row>
    <row r="188" spans="1:159" s="19" customFormat="1" ht="15">
      <c r="A188" s="22">
        <v>36860</v>
      </c>
      <c r="B188" s="49">
        <f t="shared" si="12"/>
        <v>1570.158</v>
      </c>
      <c r="C188" s="13">
        <v>1452.099</v>
      </c>
      <c r="D188" s="13">
        <v>115.963</v>
      </c>
      <c r="E188" s="13">
        <v>2.096</v>
      </c>
      <c r="F188" s="49">
        <v>95.416</v>
      </c>
      <c r="G188" s="49">
        <f t="shared" si="13"/>
        <v>3042.122</v>
      </c>
      <c r="H188" s="13">
        <v>100.307</v>
      </c>
      <c r="I188" s="13">
        <v>978.066</v>
      </c>
      <c r="J188" s="13">
        <v>153.471</v>
      </c>
      <c r="K188" s="13">
        <v>121.764</v>
      </c>
      <c r="L188" s="13">
        <v>126.39</v>
      </c>
      <c r="M188" s="13">
        <v>170.111</v>
      </c>
      <c r="N188" s="13">
        <v>295.132</v>
      </c>
      <c r="O188" s="13">
        <v>91.389</v>
      </c>
      <c r="P188" s="13">
        <v>1005.492</v>
      </c>
      <c r="Q188" s="49">
        <f t="shared" si="14"/>
        <v>1977.19</v>
      </c>
      <c r="R188" s="13">
        <v>1696.256</v>
      </c>
      <c r="S188" s="13">
        <v>197.586</v>
      </c>
      <c r="T188" s="13">
        <v>83.348</v>
      </c>
      <c r="U188" s="49">
        <v>729.897</v>
      </c>
      <c r="V188" s="49">
        <f t="shared" si="15"/>
        <v>1512.9940000000001</v>
      </c>
      <c r="W188" s="13">
        <v>1446.538</v>
      </c>
      <c r="X188" s="13">
        <v>3.179</v>
      </c>
      <c r="Y188" s="13">
        <v>63.277</v>
      </c>
      <c r="Z188" s="49">
        <v>696.224</v>
      </c>
      <c r="AA188" s="49">
        <f t="shared" si="16"/>
        <v>5973.232999999999</v>
      </c>
      <c r="AB188" s="13">
        <v>2407.374</v>
      </c>
      <c r="AC188" s="13">
        <v>0.197</v>
      </c>
      <c r="AD188" s="13">
        <v>2825.747</v>
      </c>
      <c r="AE188" s="13">
        <v>739.915</v>
      </c>
      <c r="AF188" s="49">
        <v>3651.464</v>
      </c>
      <c r="AG188" s="49">
        <v>0</v>
      </c>
      <c r="AH188" s="49">
        <v>5251.747</v>
      </c>
      <c r="AI188" s="49">
        <v>153.554</v>
      </c>
      <c r="AJ188" s="49">
        <v>4764.807</v>
      </c>
      <c r="AK188" s="49">
        <v>10876.6</v>
      </c>
      <c r="AL188" s="49">
        <v>56.37</v>
      </c>
      <c r="AM188" s="14">
        <f t="shared" si="17"/>
        <v>40351.776000000005</v>
      </c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8"/>
      <c r="ED188" s="18"/>
      <c r="EE188" s="18"/>
      <c r="EF188" s="18"/>
      <c r="EG188" s="18"/>
      <c r="EH188" s="18"/>
      <c r="EI188" s="18"/>
      <c r="EJ188" s="18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</row>
    <row r="189" spans="1:159" s="19" customFormat="1" ht="15">
      <c r="A189" s="22">
        <v>36891</v>
      </c>
      <c r="B189" s="49">
        <f t="shared" si="12"/>
        <v>1557.2289999999998</v>
      </c>
      <c r="C189" s="13">
        <v>1436.993</v>
      </c>
      <c r="D189" s="13">
        <v>118.166</v>
      </c>
      <c r="E189" s="13">
        <v>2.07</v>
      </c>
      <c r="F189" s="49">
        <v>87.19</v>
      </c>
      <c r="G189" s="49">
        <f t="shared" si="13"/>
        <v>3046.79</v>
      </c>
      <c r="H189" s="13">
        <v>122.298</v>
      </c>
      <c r="I189" s="13">
        <v>924.224</v>
      </c>
      <c r="J189" s="13">
        <v>157.718</v>
      </c>
      <c r="K189" s="13">
        <v>98.199</v>
      </c>
      <c r="L189" s="13">
        <v>131.393</v>
      </c>
      <c r="M189" s="13">
        <v>158.862</v>
      </c>
      <c r="N189" s="13">
        <v>319.254</v>
      </c>
      <c r="O189" s="13">
        <v>101.109</v>
      </c>
      <c r="P189" s="13">
        <v>1033.733</v>
      </c>
      <c r="Q189" s="49">
        <f t="shared" si="14"/>
        <v>2026.132</v>
      </c>
      <c r="R189" s="13">
        <v>1804.669</v>
      </c>
      <c r="S189" s="13">
        <v>131.932</v>
      </c>
      <c r="T189" s="13">
        <v>89.531</v>
      </c>
      <c r="U189" s="49">
        <v>747.295</v>
      </c>
      <c r="V189" s="49">
        <f t="shared" si="15"/>
        <v>1525.7310000000002</v>
      </c>
      <c r="W189" s="13">
        <v>1458.678</v>
      </c>
      <c r="X189" s="13">
        <v>8.535</v>
      </c>
      <c r="Y189" s="13">
        <v>58.518</v>
      </c>
      <c r="Z189" s="49">
        <v>773.945</v>
      </c>
      <c r="AA189" s="49">
        <f t="shared" si="16"/>
        <v>6696.791</v>
      </c>
      <c r="AB189" s="13">
        <v>2427.706</v>
      </c>
      <c r="AC189" s="13">
        <v>0.137</v>
      </c>
      <c r="AD189" s="13">
        <v>3145.055</v>
      </c>
      <c r="AE189" s="13">
        <v>1123.893</v>
      </c>
      <c r="AF189" s="49">
        <v>3563.853</v>
      </c>
      <c r="AG189" s="49">
        <v>0</v>
      </c>
      <c r="AH189" s="49">
        <v>4747.676</v>
      </c>
      <c r="AI189" s="49">
        <v>137.499</v>
      </c>
      <c r="AJ189" s="49">
        <v>4730.003</v>
      </c>
      <c r="AK189" s="49">
        <v>10882.834</v>
      </c>
      <c r="AL189" s="49">
        <v>50.786</v>
      </c>
      <c r="AM189" s="14">
        <f t="shared" si="17"/>
        <v>40573.754</v>
      </c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8"/>
      <c r="ED189" s="18"/>
      <c r="EE189" s="18"/>
      <c r="EF189" s="18"/>
      <c r="EG189" s="18"/>
      <c r="EH189" s="18"/>
      <c r="EI189" s="18"/>
      <c r="EJ189" s="18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</row>
    <row r="190" spans="1:159" s="19" customFormat="1" ht="15">
      <c r="A190" s="22">
        <v>36922</v>
      </c>
      <c r="B190" s="49">
        <f t="shared" si="12"/>
        <v>1542.1760000000002</v>
      </c>
      <c r="C190" s="13">
        <v>1437.963</v>
      </c>
      <c r="D190" s="13">
        <v>102.237</v>
      </c>
      <c r="E190" s="13">
        <v>1.976</v>
      </c>
      <c r="F190" s="49">
        <v>88.54</v>
      </c>
      <c r="G190" s="49">
        <f t="shared" si="13"/>
        <v>3019.84</v>
      </c>
      <c r="H190" s="13">
        <v>90.752</v>
      </c>
      <c r="I190" s="13">
        <v>931.908</v>
      </c>
      <c r="J190" s="13">
        <v>156.669</v>
      </c>
      <c r="K190" s="13">
        <v>100.975</v>
      </c>
      <c r="L190" s="13">
        <v>127.54</v>
      </c>
      <c r="M190" s="13">
        <v>161.632</v>
      </c>
      <c r="N190" s="13">
        <v>309.502</v>
      </c>
      <c r="O190" s="13">
        <v>98.461</v>
      </c>
      <c r="P190" s="13">
        <v>1042.401</v>
      </c>
      <c r="Q190" s="49">
        <f t="shared" si="14"/>
        <v>2116.966</v>
      </c>
      <c r="R190" s="13">
        <v>1912.758</v>
      </c>
      <c r="S190" s="13">
        <v>123.455</v>
      </c>
      <c r="T190" s="13">
        <v>80.753</v>
      </c>
      <c r="U190" s="49">
        <v>726.192</v>
      </c>
      <c r="V190" s="49">
        <f t="shared" si="15"/>
        <v>1572.958</v>
      </c>
      <c r="W190" s="13">
        <v>1502.875</v>
      </c>
      <c r="X190" s="13">
        <v>11.718</v>
      </c>
      <c r="Y190" s="13">
        <v>58.365</v>
      </c>
      <c r="Z190" s="49">
        <v>692.756</v>
      </c>
      <c r="AA190" s="49">
        <f t="shared" si="16"/>
        <v>6788.327</v>
      </c>
      <c r="AB190" s="13">
        <v>2366.104</v>
      </c>
      <c r="AC190" s="13">
        <v>0.482</v>
      </c>
      <c r="AD190" s="13">
        <v>3166.95</v>
      </c>
      <c r="AE190" s="13">
        <v>1254.791</v>
      </c>
      <c r="AF190" s="49">
        <v>3395.259</v>
      </c>
      <c r="AG190" s="49">
        <v>0</v>
      </c>
      <c r="AH190" s="49">
        <v>4810.537</v>
      </c>
      <c r="AI190" s="49">
        <v>130.67</v>
      </c>
      <c r="AJ190" s="49">
        <v>4359.755</v>
      </c>
      <c r="AK190" s="49">
        <v>10658.457</v>
      </c>
      <c r="AL190" s="49">
        <v>57.416</v>
      </c>
      <c r="AM190" s="14">
        <f t="shared" si="17"/>
        <v>39959.849</v>
      </c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8"/>
      <c r="ED190" s="18"/>
      <c r="EE190" s="18"/>
      <c r="EF190" s="18"/>
      <c r="EG190" s="18"/>
      <c r="EH190" s="18"/>
      <c r="EI190" s="18"/>
      <c r="EJ190" s="18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</row>
    <row r="191" spans="1:159" s="19" customFormat="1" ht="15">
      <c r="A191" s="22">
        <v>36950</v>
      </c>
      <c r="B191" s="49">
        <f t="shared" si="12"/>
        <v>1543.454</v>
      </c>
      <c r="C191" s="13">
        <v>1435.454</v>
      </c>
      <c r="D191" s="13">
        <v>106.126</v>
      </c>
      <c r="E191" s="13">
        <v>1.874</v>
      </c>
      <c r="F191" s="49">
        <v>147.886</v>
      </c>
      <c r="G191" s="49">
        <f t="shared" si="13"/>
        <v>2992.5690000000004</v>
      </c>
      <c r="H191" s="13">
        <v>136.239</v>
      </c>
      <c r="I191" s="13">
        <v>934.299</v>
      </c>
      <c r="J191" s="13">
        <v>152.17</v>
      </c>
      <c r="K191" s="13">
        <v>105.655</v>
      </c>
      <c r="L191" s="13">
        <v>121.368</v>
      </c>
      <c r="M191" s="13">
        <v>154.43</v>
      </c>
      <c r="N191" s="13">
        <v>316.046</v>
      </c>
      <c r="O191" s="13">
        <v>89.055</v>
      </c>
      <c r="P191" s="13">
        <v>983.307</v>
      </c>
      <c r="Q191" s="49">
        <f t="shared" si="14"/>
        <v>2211.252</v>
      </c>
      <c r="R191" s="13">
        <v>2001.773</v>
      </c>
      <c r="S191" s="13">
        <v>128.237</v>
      </c>
      <c r="T191" s="13">
        <v>81.242</v>
      </c>
      <c r="U191" s="49">
        <v>580.785</v>
      </c>
      <c r="V191" s="49">
        <f t="shared" si="15"/>
        <v>1353.46</v>
      </c>
      <c r="W191" s="13">
        <v>1226.039</v>
      </c>
      <c r="X191" s="13">
        <v>69.823</v>
      </c>
      <c r="Y191" s="13">
        <v>57.598</v>
      </c>
      <c r="Z191" s="49">
        <v>813.927</v>
      </c>
      <c r="AA191" s="49">
        <f t="shared" si="16"/>
        <v>7476.034999999999</v>
      </c>
      <c r="AB191" s="13">
        <v>2393.102</v>
      </c>
      <c r="AC191" s="13">
        <v>0</v>
      </c>
      <c r="AD191" s="13">
        <v>3784.296</v>
      </c>
      <c r="AE191" s="13">
        <v>1298.637</v>
      </c>
      <c r="AF191" s="49">
        <v>3183.275</v>
      </c>
      <c r="AG191" s="49">
        <v>0</v>
      </c>
      <c r="AH191" s="49">
        <v>4739.725</v>
      </c>
      <c r="AI191" s="49">
        <v>128.121</v>
      </c>
      <c r="AJ191" s="49">
        <v>4265.502</v>
      </c>
      <c r="AK191" s="49">
        <v>11099.836</v>
      </c>
      <c r="AL191" s="49">
        <v>46.44</v>
      </c>
      <c r="AM191" s="14">
        <f t="shared" si="17"/>
        <v>40582.26700000001</v>
      </c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8"/>
      <c r="ED191" s="18"/>
      <c r="EE191" s="18"/>
      <c r="EF191" s="18"/>
      <c r="EG191" s="18"/>
      <c r="EH191" s="18"/>
      <c r="EI191" s="18"/>
      <c r="EJ191" s="18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</row>
    <row r="192" spans="1:159" s="19" customFormat="1" ht="15">
      <c r="A192" s="22">
        <v>36981</v>
      </c>
      <c r="B192" s="49">
        <f t="shared" si="12"/>
        <v>1678.835</v>
      </c>
      <c r="C192" s="13">
        <v>1560.619</v>
      </c>
      <c r="D192" s="13">
        <v>110.257</v>
      </c>
      <c r="E192" s="13">
        <v>7.959</v>
      </c>
      <c r="F192" s="49">
        <v>69.01</v>
      </c>
      <c r="G192" s="49">
        <f t="shared" si="13"/>
        <v>2836.6339999999996</v>
      </c>
      <c r="H192" s="13">
        <v>62.381</v>
      </c>
      <c r="I192" s="13">
        <v>878.718</v>
      </c>
      <c r="J192" s="13">
        <v>153.797</v>
      </c>
      <c r="K192" s="13">
        <v>84.916</v>
      </c>
      <c r="L192" s="13">
        <v>105.993</v>
      </c>
      <c r="M192" s="13">
        <v>167.174</v>
      </c>
      <c r="N192" s="13">
        <v>307.983</v>
      </c>
      <c r="O192" s="13">
        <v>87.973</v>
      </c>
      <c r="P192" s="13">
        <v>987.699</v>
      </c>
      <c r="Q192" s="49">
        <f t="shared" si="14"/>
        <v>2131.836</v>
      </c>
      <c r="R192" s="13">
        <v>1966.01</v>
      </c>
      <c r="S192" s="13">
        <v>99.836</v>
      </c>
      <c r="T192" s="13">
        <v>65.99</v>
      </c>
      <c r="U192" s="49">
        <v>743.968</v>
      </c>
      <c r="V192" s="49">
        <f t="shared" si="15"/>
        <v>1182.833</v>
      </c>
      <c r="W192" s="13">
        <v>1052.719</v>
      </c>
      <c r="X192" s="13">
        <v>75.93</v>
      </c>
      <c r="Y192" s="13">
        <v>54.184</v>
      </c>
      <c r="Z192" s="49">
        <v>848.039</v>
      </c>
      <c r="AA192" s="49">
        <f t="shared" si="16"/>
        <v>8056.952000000001</v>
      </c>
      <c r="AB192" s="13">
        <v>2424.826</v>
      </c>
      <c r="AC192" s="13">
        <v>0.376</v>
      </c>
      <c r="AD192" s="13">
        <v>4011.329</v>
      </c>
      <c r="AE192" s="13">
        <v>1620.421</v>
      </c>
      <c r="AF192" s="49">
        <v>3308.066</v>
      </c>
      <c r="AG192" s="49">
        <v>0</v>
      </c>
      <c r="AH192" s="49">
        <v>4672.076</v>
      </c>
      <c r="AI192" s="49">
        <v>125.781</v>
      </c>
      <c r="AJ192" s="49">
        <v>4432.967</v>
      </c>
      <c r="AK192" s="49">
        <v>11245.318</v>
      </c>
      <c r="AL192" s="49">
        <v>46.532</v>
      </c>
      <c r="AM192" s="14">
        <f t="shared" si="17"/>
        <v>41378.847</v>
      </c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8"/>
      <c r="ED192" s="18"/>
      <c r="EE192" s="18"/>
      <c r="EF192" s="18"/>
      <c r="EG192" s="18"/>
      <c r="EH192" s="18"/>
      <c r="EI192" s="18"/>
      <c r="EJ192" s="18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</row>
    <row r="193" spans="1:159" s="19" customFormat="1" ht="15">
      <c r="A193" s="22">
        <v>37011</v>
      </c>
      <c r="B193" s="49">
        <f t="shared" si="12"/>
        <v>1648.719</v>
      </c>
      <c r="C193" s="13">
        <v>1535.384</v>
      </c>
      <c r="D193" s="13">
        <v>104.664</v>
      </c>
      <c r="E193" s="13">
        <v>8.671</v>
      </c>
      <c r="F193" s="49">
        <v>65.187</v>
      </c>
      <c r="G193" s="49">
        <f t="shared" si="13"/>
        <v>2913.26</v>
      </c>
      <c r="H193" s="13">
        <v>62.126</v>
      </c>
      <c r="I193" s="13">
        <v>946.761</v>
      </c>
      <c r="J193" s="13">
        <v>180.878</v>
      </c>
      <c r="K193" s="13">
        <v>85.837</v>
      </c>
      <c r="L193" s="13">
        <v>121.885</v>
      </c>
      <c r="M193" s="13">
        <v>155.053</v>
      </c>
      <c r="N193" s="13">
        <v>295.982</v>
      </c>
      <c r="O193" s="13">
        <v>91.401</v>
      </c>
      <c r="P193" s="13">
        <v>973.337</v>
      </c>
      <c r="Q193" s="49">
        <f t="shared" si="14"/>
        <v>2112.54</v>
      </c>
      <c r="R193" s="13">
        <v>1951.29</v>
      </c>
      <c r="S193" s="13">
        <v>94.437</v>
      </c>
      <c r="T193" s="13">
        <v>66.813</v>
      </c>
      <c r="U193" s="49">
        <v>684.861</v>
      </c>
      <c r="V193" s="49">
        <f t="shared" si="15"/>
        <v>1238.642</v>
      </c>
      <c r="W193" s="13">
        <v>1088.345</v>
      </c>
      <c r="X193" s="13">
        <v>72.731</v>
      </c>
      <c r="Y193" s="13">
        <v>77.566</v>
      </c>
      <c r="Z193" s="49">
        <v>754.024</v>
      </c>
      <c r="AA193" s="49">
        <f t="shared" si="16"/>
        <v>7995.16</v>
      </c>
      <c r="AB193" s="13">
        <v>2503.585</v>
      </c>
      <c r="AC193" s="13">
        <v>0</v>
      </c>
      <c r="AD193" s="13">
        <v>3856.209</v>
      </c>
      <c r="AE193" s="13">
        <v>1635.366</v>
      </c>
      <c r="AF193" s="49">
        <v>3078.491</v>
      </c>
      <c r="AG193" s="49">
        <v>0</v>
      </c>
      <c r="AH193" s="49">
        <v>4621.276</v>
      </c>
      <c r="AI193" s="49">
        <v>117.44</v>
      </c>
      <c r="AJ193" s="49">
        <v>4389.595</v>
      </c>
      <c r="AK193" s="49">
        <v>11282.734</v>
      </c>
      <c r="AL193" s="49">
        <v>40.462</v>
      </c>
      <c r="AM193" s="14">
        <f t="shared" si="17"/>
        <v>40942.390999999996</v>
      </c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8"/>
      <c r="ED193" s="18"/>
      <c r="EE193" s="18"/>
      <c r="EF193" s="18"/>
      <c r="EG193" s="18"/>
      <c r="EH193" s="18"/>
      <c r="EI193" s="18"/>
      <c r="EJ193" s="18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</row>
    <row r="194" spans="1:159" s="19" customFormat="1" ht="15">
      <c r="A194" s="22">
        <v>37042</v>
      </c>
      <c r="B194" s="49">
        <f t="shared" si="12"/>
        <v>1507.438</v>
      </c>
      <c r="C194" s="13">
        <v>1394.104</v>
      </c>
      <c r="D194" s="13">
        <v>109.009</v>
      </c>
      <c r="E194" s="13">
        <v>4.325</v>
      </c>
      <c r="F194" s="49">
        <v>44.93</v>
      </c>
      <c r="G194" s="49">
        <f t="shared" si="13"/>
        <v>2956.937</v>
      </c>
      <c r="H194" s="13">
        <v>114.274</v>
      </c>
      <c r="I194" s="13">
        <v>973.999</v>
      </c>
      <c r="J194" s="13">
        <v>155.023</v>
      </c>
      <c r="K194" s="13">
        <v>83.059</v>
      </c>
      <c r="L194" s="13">
        <v>123.289</v>
      </c>
      <c r="M194" s="13">
        <v>143.81</v>
      </c>
      <c r="N194" s="13">
        <v>256.58</v>
      </c>
      <c r="O194" s="13">
        <v>97.124</v>
      </c>
      <c r="P194" s="13">
        <v>1009.779</v>
      </c>
      <c r="Q194" s="49">
        <f t="shared" si="14"/>
        <v>1761.803</v>
      </c>
      <c r="R194" s="13">
        <v>1619.806</v>
      </c>
      <c r="S194" s="13">
        <v>93.102</v>
      </c>
      <c r="T194" s="13">
        <v>48.895</v>
      </c>
      <c r="U194" s="49">
        <v>559.238</v>
      </c>
      <c r="V194" s="49">
        <f t="shared" si="15"/>
        <v>1076.973</v>
      </c>
      <c r="W194" s="13">
        <v>885.459</v>
      </c>
      <c r="X194" s="13">
        <v>70.588</v>
      </c>
      <c r="Y194" s="13">
        <v>120.926</v>
      </c>
      <c r="Z194" s="49">
        <v>843.372</v>
      </c>
      <c r="AA194" s="49">
        <f t="shared" si="16"/>
        <v>7988.796</v>
      </c>
      <c r="AB194" s="13">
        <v>2381.281</v>
      </c>
      <c r="AC194" s="13">
        <v>0.121</v>
      </c>
      <c r="AD194" s="13">
        <v>4435.407</v>
      </c>
      <c r="AE194" s="13">
        <v>1171.987</v>
      </c>
      <c r="AF194" s="49">
        <v>3154.641</v>
      </c>
      <c r="AG194" s="49">
        <v>0</v>
      </c>
      <c r="AH194" s="49">
        <v>4533.655</v>
      </c>
      <c r="AI194" s="49">
        <v>183.062</v>
      </c>
      <c r="AJ194" s="49">
        <v>4253.75</v>
      </c>
      <c r="AK194" s="49">
        <v>12233.312</v>
      </c>
      <c r="AL194" s="49">
        <v>91.828</v>
      </c>
      <c r="AM194" s="14">
        <f t="shared" si="17"/>
        <v>41189.735</v>
      </c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8"/>
      <c r="ED194" s="18"/>
      <c r="EE194" s="18"/>
      <c r="EF194" s="18"/>
      <c r="EG194" s="18"/>
      <c r="EH194" s="18"/>
      <c r="EI194" s="18"/>
      <c r="EJ194" s="18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</row>
    <row r="195" spans="1:159" s="19" customFormat="1" ht="15">
      <c r="A195" s="22">
        <v>37072</v>
      </c>
      <c r="B195" s="49">
        <f t="shared" si="12"/>
        <v>1443.2679999999998</v>
      </c>
      <c r="C195" s="13">
        <v>1343.686</v>
      </c>
      <c r="D195" s="13">
        <v>98.139</v>
      </c>
      <c r="E195" s="13">
        <v>1.443</v>
      </c>
      <c r="F195" s="49">
        <v>60.162</v>
      </c>
      <c r="G195" s="49">
        <f t="shared" si="13"/>
        <v>2824.2850000000003</v>
      </c>
      <c r="H195" s="13">
        <v>149.152</v>
      </c>
      <c r="I195" s="13">
        <v>826.329</v>
      </c>
      <c r="J195" s="13">
        <v>155.021</v>
      </c>
      <c r="K195" s="13">
        <v>86.651</v>
      </c>
      <c r="L195" s="13">
        <v>109.161</v>
      </c>
      <c r="M195" s="13">
        <v>136.174</v>
      </c>
      <c r="N195" s="13">
        <v>260.486</v>
      </c>
      <c r="O195" s="13">
        <v>88.884</v>
      </c>
      <c r="P195" s="13">
        <v>1012.427</v>
      </c>
      <c r="Q195" s="49">
        <f t="shared" si="14"/>
        <v>1714.916</v>
      </c>
      <c r="R195" s="13">
        <v>1550.524</v>
      </c>
      <c r="S195" s="13">
        <v>114.91</v>
      </c>
      <c r="T195" s="13">
        <v>49.482</v>
      </c>
      <c r="U195" s="49">
        <v>632.619</v>
      </c>
      <c r="V195" s="49">
        <f t="shared" si="15"/>
        <v>1216.9219999999998</v>
      </c>
      <c r="W195" s="13">
        <v>963.911</v>
      </c>
      <c r="X195" s="13">
        <v>72.334</v>
      </c>
      <c r="Y195" s="13">
        <v>180.677</v>
      </c>
      <c r="Z195" s="49">
        <v>783.128</v>
      </c>
      <c r="AA195" s="49">
        <f t="shared" si="16"/>
        <v>8751.800000000001</v>
      </c>
      <c r="AB195" s="13">
        <v>2975.269</v>
      </c>
      <c r="AC195" s="13">
        <v>0.978</v>
      </c>
      <c r="AD195" s="13">
        <v>4739.747</v>
      </c>
      <c r="AE195" s="13">
        <v>1035.806</v>
      </c>
      <c r="AF195" s="49">
        <v>3274.671</v>
      </c>
      <c r="AG195" s="49">
        <v>0</v>
      </c>
      <c r="AH195" s="49">
        <v>4561.062</v>
      </c>
      <c r="AI195" s="49">
        <v>97.22</v>
      </c>
      <c r="AJ195" s="49">
        <v>4240.386</v>
      </c>
      <c r="AK195" s="49">
        <v>12194.124</v>
      </c>
      <c r="AL195" s="49">
        <v>88.683</v>
      </c>
      <c r="AM195" s="14">
        <f t="shared" si="17"/>
        <v>41883.24599999999</v>
      </c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8"/>
      <c r="ED195" s="18"/>
      <c r="EE195" s="18"/>
      <c r="EF195" s="18"/>
      <c r="EG195" s="18"/>
      <c r="EH195" s="18"/>
      <c r="EI195" s="18"/>
      <c r="EJ195" s="18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</row>
    <row r="196" spans="1:159" s="19" customFormat="1" ht="15">
      <c r="A196" s="22">
        <v>37103</v>
      </c>
      <c r="B196" s="49">
        <f t="shared" si="12"/>
        <v>1603.225</v>
      </c>
      <c r="C196" s="13">
        <v>1513.616</v>
      </c>
      <c r="D196" s="13">
        <v>88.019</v>
      </c>
      <c r="E196" s="13">
        <v>1.59</v>
      </c>
      <c r="F196" s="49">
        <v>73.182</v>
      </c>
      <c r="G196" s="49">
        <f t="shared" si="13"/>
        <v>2974.455</v>
      </c>
      <c r="H196" s="13">
        <v>180.061</v>
      </c>
      <c r="I196" s="13">
        <v>907.183</v>
      </c>
      <c r="J196" s="13">
        <v>159.276</v>
      </c>
      <c r="K196" s="13">
        <v>98.365</v>
      </c>
      <c r="L196" s="13">
        <v>106.901</v>
      </c>
      <c r="M196" s="13">
        <v>138.045</v>
      </c>
      <c r="N196" s="13">
        <v>275.149</v>
      </c>
      <c r="O196" s="13">
        <v>103.592</v>
      </c>
      <c r="P196" s="13">
        <v>1005.883</v>
      </c>
      <c r="Q196" s="49">
        <f t="shared" si="14"/>
        <v>1796.453</v>
      </c>
      <c r="R196" s="13">
        <v>1581.418</v>
      </c>
      <c r="S196" s="13">
        <v>168.212</v>
      </c>
      <c r="T196" s="13">
        <v>46.823</v>
      </c>
      <c r="U196" s="49">
        <v>810.917</v>
      </c>
      <c r="V196" s="49">
        <f t="shared" si="15"/>
        <v>1726.6930000000002</v>
      </c>
      <c r="W196" s="13">
        <v>955.587</v>
      </c>
      <c r="X196" s="13">
        <v>76.892</v>
      </c>
      <c r="Y196" s="13">
        <v>694.214</v>
      </c>
      <c r="Z196" s="49">
        <v>697.37</v>
      </c>
      <c r="AA196" s="49">
        <f t="shared" si="16"/>
        <v>8928.154</v>
      </c>
      <c r="AB196" s="13">
        <v>3160.014</v>
      </c>
      <c r="AC196" s="13">
        <v>0</v>
      </c>
      <c r="AD196" s="13">
        <v>4771.943</v>
      </c>
      <c r="AE196" s="13">
        <v>996.197</v>
      </c>
      <c r="AF196" s="49">
        <v>2993.805</v>
      </c>
      <c r="AG196" s="49">
        <v>0</v>
      </c>
      <c r="AH196" s="49">
        <v>4724.885</v>
      </c>
      <c r="AI196" s="49">
        <v>98.695</v>
      </c>
      <c r="AJ196" s="49">
        <v>3995.364</v>
      </c>
      <c r="AK196" s="49">
        <v>12543.719</v>
      </c>
      <c r="AL196" s="49">
        <v>88.227</v>
      </c>
      <c r="AM196" s="14">
        <f t="shared" si="17"/>
        <v>43055.144</v>
      </c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8"/>
      <c r="ED196" s="18"/>
      <c r="EE196" s="18"/>
      <c r="EF196" s="18"/>
      <c r="EG196" s="18"/>
      <c r="EH196" s="18"/>
      <c r="EI196" s="18"/>
      <c r="EJ196" s="18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</row>
    <row r="197" spans="1:159" s="19" customFormat="1" ht="15">
      <c r="A197" s="22">
        <v>37134</v>
      </c>
      <c r="B197" s="49">
        <f t="shared" si="12"/>
        <v>1602.773</v>
      </c>
      <c r="C197" s="13">
        <v>1511.666</v>
      </c>
      <c r="D197" s="13">
        <v>89.473</v>
      </c>
      <c r="E197" s="13">
        <v>1.634</v>
      </c>
      <c r="F197" s="49">
        <v>54.674</v>
      </c>
      <c r="G197" s="49">
        <f t="shared" si="13"/>
        <v>2982.099</v>
      </c>
      <c r="H197" s="13">
        <v>122.781</v>
      </c>
      <c r="I197" s="13">
        <v>1045.421</v>
      </c>
      <c r="J197" s="13">
        <v>156.547</v>
      </c>
      <c r="K197" s="13">
        <v>92.705</v>
      </c>
      <c r="L197" s="13">
        <v>108.604</v>
      </c>
      <c r="M197" s="13">
        <v>138.018</v>
      </c>
      <c r="N197" s="13">
        <v>241.987</v>
      </c>
      <c r="O197" s="13">
        <v>101.055</v>
      </c>
      <c r="P197" s="13">
        <v>974.981</v>
      </c>
      <c r="Q197" s="49">
        <f t="shared" si="14"/>
        <v>1883.935</v>
      </c>
      <c r="R197" s="13">
        <v>1721.589</v>
      </c>
      <c r="S197" s="13">
        <v>116.846</v>
      </c>
      <c r="T197" s="13">
        <v>45.5</v>
      </c>
      <c r="U197" s="49">
        <v>636.781</v>
      </c>
      <c r="V197" s="49">
        <f t="shared" si="15"/>
        <v>2397.225</v>
      </c>
      <c r="W197" s="13">
        <v>1638.973</v>
      </c>
      <c r="X197" s="13">
        <v>66.196</v>
      </c>
      <c r="Y197" s="13">
        <v>692.056</v>
      </c>
      <c r="Z197" s="49">
        <v>662.591</v>
      </c>
      <c r="AA197" s="49">
        <f t="shared" si="16"/>
        <v>8756.896</v>
      </c>
      <c r="AB197" s="13">
        <v>3315.432</v>
      </c>
      <c r="AC197" s="13">
        <v>0</v>
      </c>
      <c r="AD197" s="13">
        <v>4506.961</v>
      </c>
      <c r="AE197" s="13">
        <v>934.503</v>
      </c>
      <c r="AF197" s="49">
        <v>3170.24</v>
      </c>
      <c r="AG197" s="49">
        <v>0</v>
      </c>
      <c r="AH197" s="49">
        <v>4700.259</v>
      </c>
      <c r="AI197" s="49">
        <v>90.162</v>
      </c>
      <c r="AJ197" s="49">
        <v>3890.693</v>
      </c>
      <c r="AK197" s="49">
        <v>12874.394</v>
      </c>
      <c r="AL197" s="49">
        <v>88.516</v>
      </c>
      <c r="AM197" s="14">
        <f t="shared" si="17"/>
        <v>43791.238</v>
      </c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8"/>
      <c r="ED197" s="18"/>
      <c r="EE197" s="18"/>
      <c r="EF197" s="18"/>
      <c r="EG197" s="18"/>
      <c r="EH197" s="18"/>
      <c r="EI197" s="18"/>
      <c r="EJ197" s="18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</row>
    <row r="198" spans="1:159" s="19" customFormat="1" ht="15">
      <c r="A198" s="22">
        <v>37164</v>
      </c>
      <c r="B198" s="49">
        <f t="shared" si="12"/>
        <v>1536.825</v>
      </c>
      <c r="C198" s="13">
        <v>1442.42</v>
      </c>
      <c r="D198" s="13">
        <v>92.912</v>
      </c>
      <c r="E198" s="13">
        <v>1.493</v>
      </c>
      <c r="F198" s="49">
        <v>58.892</v>
      </c>
      <c r="G198" s="49">
        <f t="shared" si="13"/>
        <v>3120.1830000000004</v>
      </c>
      <c r="H198" s="13">
        <v>242.333</v>
      </c>
      <c r="I198" s="13">
        <v>1065.757</v>
      </c>
      <c r="J198" s="13">
        <v>115.171</v>
      </c>
      <c r="K198" s="13">
        <v>89.813</v>
      </c>
      <c r="L198" s="13">
        <v>106.507</v>
      </c>
      <c r="M198" s="13">
        <v>135.372</v>
      </c>
      <c r="N198" s="13">
        <v>282.477</v>
      </c>
      <c r="O198" s="13">
        <v>98.603</v>
      </c>
      <c r="P198" s="13">
        <v>984.15</v>
      </c>
      <c r="Q198" s="49">
        <f t="shared" si="14"/>
        <v>1913.088</v>
      </c>
      <c r="R198" s="13">
        <v>1754.646</v>
      </c>
      <c r="S198" s="13">
        <v>118.552</v>
      </c>
      <c r="T198" s="13">
        <v>39.89</v>
      </c>
      <c r="U198" s="49">
        <v>521.312</v>
      </c>
      <c r="V198" s="49">
        <f t="shared" si="15"/>
        <v>2857.101</v>
      </c>
      <c r="W198" s="13">
        <v>1676.4</v>
      </c>
      <c r="X198" s="13">
        <v>58.343</v>
      </c>
      <c r="Y198" s="13">
        <v>1122.358</v>
      </c>
      <c r="Z198" s="49">
        <v>664.259</v>
      </c>
      <c r="AA198" s="49">
        <f t="shared" si="16"/>
        <v>7152.288</v>
      </c>
      <c r="AB198" s="13">
        <v>4109.402</v>
      </c>
      <c r="AC198" s="13">
        <v>0.044</v>
      </c>
      <c r="AD198" s="13">
        <v>2178.138</v>
      </c>
      <c r="AE198" s="13">
        <v>864.704</v>
      </c>
      <c r="AF198" s="49">
        <v>3110.717</v>
      </c>
      <c r="AG198" s="49">
        <v>0</v>
      </c>
      <c r="AH198" s="49">
        <v>4708.786</v>
      </c>
      <c r="AI198" s="49">
        <v>91.543</v>
      </c>
      <c r="AJ198" s="49">
        <v>3419.318</v>
      </c>
      <c r="AK198" s="49">
        <v>13736.67</v>
      </c>
      <c r="AL198" s="49">
        <v>90.575</v>
      </c>
      <c r="AM198" s="14">
        <f t="shared" si="17"/>
        <v>42981.557</v>
      </c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8"/>
      <c r="ED198" s="18"/>
      <c r="EE198" s="18"/>
      <c r="EF198" s="18"/>
      <c r="EG198" s="18"/>
      <c r="EH198" s="18"/>
      <c r="EI198" s="18"/>
      <c r="EJ198" s="18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</row>
    <row r="199" spans="1:159" s="19" customFormat="1" ht="15">
      <c r="A199" s="22">
        <v>37195</v>
      </c>
      <c r="B199" s="49">
        <f t="shared" si="12"/>
        <v>1265.887</v>
      </c>
      <c r="C199" s="13">
        <v>1181.491</v>
      </c>
      <c r="D199" s="13">
        <v>82.722</v>
      </c>
      <c r="E199" s="13">
        <v>1.674</v>
      </c>
      <c r="F199" s="49">
        <v>67.348</v>
      </c>
      <c r="G199" s="49">
        <f t="shared" si="13"/>
        <v>3303.2610000000004</v>
      </c>
      <c r="H199" s="13">
        <v>277.668</v>
      </c>
      <c r="I199" s="13">
        <v>1080.446</v>
      </c>
      <c r="J199" s="13">
        <v>134.189</v>
      </c>
      <c r="K199" s="13">
        <v>96.144</v>
      </c>
      <c r="L199" s="13">
        <v>109.308</v>
      </c>
      <c r="M199" s="13">
        <v>135.022</v>
      </c>
      <c r="N199" s="13">
        <v>353.501</v>
      </c>
      <c r="O199" s="13">
        <v>108.908</v>
      </c>
      <c r="P199" s="13">
        <v>1008.075</v>
      </c>
      <c r="Q199" s="49">
        <f t="shared" si="14"/>
        <v>2072.4469999999997</v>
      </c>
      <c r="R199" s="13">
        <v>1887.301</v>
      </c>
      <c r="S199" s="13">
        <v>142.744</v>
      </c>
      <c r="T199" s="13">
        <v>42.402</v>
      </c>
      <c r="U199" s="49">
        <v>503.935</v>
      </c>
      <c r="V199" s="49">
        <f t="shared" si="15"/>
        <v>2942.8140000000003</v>
      </c>
      <c r="W199" s="13">
        <v>1412.348</v>
      </c>
      <c r="X199" s="13">
        <v>58.688</v>
      </c>
      <c r="Y199" s="13">
        <v>1471.778</v>
      </c>
      <c r="Z199" s="49">
        <v>1237.141</v>
      </c>
      <c r="AA199" s="49">
        <f t="shared" si="16"/>
        <v>8046.361</v>
      </c>
      <c r="AB199" s="13">
        <v>3910.43</v>
      </c>
      <c r="AC199" s="13">
        <v>0.188</v>
      </c>
      <c r="AD199" s="13">
        <v>2321.434</v>
      </c>
      <c r="AE199" s="13">
        <v>1814.309</v>
      </c>
      <c r="AF199" s="49">
        <v>3176.905</v>
      </c>
      <c r="AG199" s="49">
        <v>0</v>
      </c>
      <c r="AH199" s="49">
        <v>5053.314</v>
      </c>
      <c r="AI199" s="49">
        <v>86.484</v>
      </c>
      <c r="AJ199" s="49">
        <v>3591.048</v>
      </c>
      <c r="AK199" s="49">
        <v>13229.494</v>
      </c>
      <c r="AL199" s="49">
        <v>84.43</v>
      </c>
      <c r="AM199" s="14">
        <f t="shared" si="17"/>
        <v>44660.869</v>
      </c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8"/>
      <c r="ED199" s="18"/>
      <c r="EE199" s="18"/>
      <c r="EF199" s="18"/>
      <c r="EG199" s="18"/>
      <c r="EH199" s="18"/>
      <c r="EI199" s="18"/>
      <c r="EJ199" s="18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</row>
    <row r="200" spans="1:159" s="19" customFormat="1" ht="15">
      <c r="A200" s="22">
        <v>37225</v>
      </c>
      <c r="B200" s="49">
        <f t="shared" si="12"/>
        <v>1234.548</v>
      </c>
      <c r="C200" s="13">
        <v>1154.675</v>
      </c>
      <c r="D200" s="13">
        <v>78.338</v>
      </c>
      <c r="E200" s="13">
        <v>1.535</v>
      </c>
      <c r="F200" s="49">
        <v>81.133</v>
      </c>
      <c r="G200" s="49">
        <f t="shared" si="13"/>
        <v>3221.7929999999997</v>
      </c>
      <c r="H200" s="13">
        <v>317.41</v>
      </c>
      <c r="I200" s="13">
        <v>1094.977</v>
      </c>
      <c r="J200" s="13">
        <v>92.558</v>
      </c>
      <c r="K200" s="13">
        <v>97.695</v>
      </c>
      <c r="L200" s="13">
        <v>117.272</v>
      </c>
      <c r="M200" s="13">
        <v>140.301</v>
      </c>
      <c r="N200" s="13">
        <v>322.103</v>
      </c>
      <c r="O200" s="13">
        <v>92.365</v>
      </c>
      <c r="P200" s="13">
        <v>947.112</v>
      </c>
      <c r="Q200" s="49">
        <f t="shared" si="14"/>
        <v>2102.148</v>
      </c>
      <c r="R200" s="13">
        <v>1899.767</v>
      </c>
      <c r="S200" s="13">
        <v>161.981</v>
      </c>
      <c r="T200" s="13">
        <v>40.4</v>
      </c>
      <c r="U200" s="49">
        <v>505.999</v>
      </c>
      <c r="V200" s="49">
        <f t="shared" si="15"/>
        <v>4424.21</v>
      </c>
      <c r="W200" s="13">
        <v>2905.096</v>
      </c>
      <c r="X200" s="13">
        <v>72.084</v>
      </c>
      <c r="Y200" s="13">
        <v>1447.03</v>
      </c>
      <c r="Z200" s="49">
        <v>1267.853</v>
      </c>
      <c r="AA200" s="49">
        <f t="shared" si="16"/>
        <v>9189.550000000001</v>
      </c>
      <c r="AB200" s="13">
        <v>4016.429</v>
      </c>
      <c r="AC200" s="13">
        <v>0.056</v>
      </c>
      <c r="AD200" s="13">
        <v>2528.117</v>
      </c>
      <c r="AE200" s="13">
        <v>2644.948</v>
      </c>
      <c r="AF200" s="49">
        <v>3187.211</v>
      </c>
      <c r="AG200" s="49">
        <v>0</v>
      </c>
      <c r="AH200" s="49">
        <v>5109.299</v>
      </c>
      <c r="AI200" s="49">
        <v>88.837</v>
      </c>
      <c r="AJ200" s="49">
        <v>3511.211</v>
      </c>
      <c r="AK200" s="49">
        <v>13499.748</v>
      </c>
      <c r="AL200" s="49">
        <v>83.154</v>
      </c>
      <c r="AM200" s="14">
        <f t="shared" si="17"/>
        <v>47506.694</v>
      </c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8"/>
      <c r="ED200" s="18"/>
      <c r="EE200" s="18"/>
      <c r="EF200" s="18"/>
      <c r="EG200" s="18"/>
      <c r="EH200" s="18"/>
      <c r="EI200" s="18"/>
      <c r="EJ200" s="18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</row>
    <row r="201" spans="1:159" s="19" customFormat="1" ht="15">
      <c r="A201" s="22">
        <v>37256</v>
      </c>
      <c r="B201" s="49">
        <f t="shared" si="12"/>
        <v>1479.622</v>
      </c>
      <c r="C201" s="13">
        <v>1406.68</v>
      </c>
      <c r="D201" s="13">
        <v>71.266</v>
      </c>
      <c r="E201" s="13">
        <v>1.676</v>
      </c>
      <c r="F201" s="49">
        <v>98.177</v>
      </c>
      <c r="G201" s="49">
        <f t="shared" si="13"/>
        <v>3119.2610000000004</v>
      </c>
      <c r="H201" s="13">
        <v>285.649</v>
      </c>
      <c r="I201" s="13">
        <v>1095.066</v>
      </c>
      <c r="J201" s="13">
        <v>96.459</v>
      </c>
      <c r="K201" s="13">
        <v>78.716</v>
      </c>
      <c r="L201" s="13">
        <v>118.595</v>
      </c>
      <c r="M201" s="13">
        <v>149.67</v>
      </c>
      <c r="N201" s="13">
        <v>313.588</v>
      </c>
      <c r="O201" s="13">
        <v>83.178</v>
      </c>
      <c r="P201" s="13">
        <v>898.34</v>
      </c>
      <c r="Q201" s="49">
        <f t="shared" si="14"/>
        <v>2339.359</v>
      </c>
      <c r="R201" s="13">
        <v>2113.868</v>
      </c>
      <c r="S201" s="13">
        <v>190.576</v>
      </c>
      <c r="T201" s="13">
        <v>34.915</v>
      </c>
      <c r="U201" s="49">
        <v>178.201</v>
      </c>
      <c r="V201" s="49">
        <f t="shared" si="15"/>
        <v>4121.79</v>
      </c>
      <c r="W201" s="13">
        <v>2625.458</v>
      </c>
      <c r="X201" s="13">
        <v>74.251</v>
      </c>
      <c r="Y201" s="13">
        <v>1422.081</v>
      </c>
      <c r="Z201" s="49">
        <v>1256.921</v>
      </c>
      <c r="AA201" s="49">
        <f t="shared" si="16"/>
        <v>10576.380000000001</v>
      </c>
      <c r="AB201" s="13">
        <v>4194.228</v>
      </c>
      <c r="AC201" s="13">
        <v>0.416</v>
      </c>
      <c r="AD201" s="13">
        <v>2889.252</v>
      </c>
      <c r="AE201" s="13">
        <v>3492.484</v>
      </c>
      <c r="AF201" s="49">
        <v>3224.744</v>
      </c>
      <c r="AG201" s="49">
        <v>0</v>
      </c>
      <c r="AH201" s="49">
        <v>5166.295</v>
      </c>
      <c r="AI201" s="49">
        <v>89.39</v>
      </c>
      <c r="AJ201" s="49">
        <v>3552.7</v>
      </c>
      <c r="AK201" s="49">
        <v>13751.214</v>
      </c>
      <c r="AL201" s="49">
        <v>81.044</v>
      </c>
      <c r="AM201" s="14">
        <f t="shared" si="17"/>
        <v>49035.098</v>
      </c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8"/>
      <c r="ED201" s="18"/>
      <c r="EE201" s="18"/>
      <c r="EF201" s="18"/>
      <c r="EG201" s="18"/>
      <c r="EH201" s="18"/>
      <c r="EI201" s="18"/>
      <c r="EJ201" s="18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</row>
    <row r="202" spans="1:159" s="19" customFormat="1" ht="15">
      <c r="A202" s="22">
        <v>37287</v>
      </c>
      <c r="B202" s="49">
        <f t="shared" si="12"/>
        <v>1514.528</v>
      </c>
      <c r="C202" s="13">
        <v>1434.237</v>
      </c>
      <c r="D202" s="13">
        <v>79.748</v>
      </c>
      <c r="E202" s="13">
        <v>0.543</v>
      </c>
      <c r="F202" s="49">
        <v>96.853</v>
      </c>
      <c r="G202" s="49">
        <f t="shared" si="13"/>
        <v>3163.132</v>
      </c>
      <c r="H202" s="13">
        <v>447.55</v>
      </c>
      <c r="I202" s="13">
        <v>1063.924</v>
      </c>
      <c r="J202" s="13">
        <v>95.816</v>
      </c>
      <c r="K202" s="13">
        <v>85.862</v>
      </c>
      <c r="L202" s="13">
        <v>118.023</v>
      </c>
      <c r="M202" s="13">
        <v>161.886</v>
      </c>
      <c r="N202" s="13">
        <v>262.38</v>
      </c>
      <c r="O202" s="13">
        <v>88.186</v>
      </c>
      <c r="P202" s="13">
        <v>839.505</v>
      </c>
      <c r="Q202" s="49">
        <f t="shared" si="14"/>
        <v>1923.6970000000001</v>
      </c>
      <c r="R202" s="13">
        <v>1667.442</v>
      </c>
      <c r="S202" s="13">
        <v>219.266</v>
      </c>
      <c r="T202" s="13">
        <v>36.989</v>
      </c>
      <c r="U202" s="49">
        <v>208.241</v>
      </c>
      <c r="V202" s="49">
        <f t="shared" si="15"/>
        <v>3565.834</v>
      </c>
      <c r="W202" s="13">
        <v>2642.381</v>
      </c>
      <c r="X202" s="13">
        <v>60.337</v>
      </c>
      <c r="Y202" s="13">
        <v>863.116</v>
      </c>
      <c r="Z202" s="49">
        <v>1161.215</v>
      </c>
      <c r="AA202" s="49">
        <f t="shared" si="16"/>
        <v>11958.833</v>
      </c>
      <c r="AB202" s="13">
        <v>4823.645</v>
      </c>
      <c r="AC202" s="13">
        <v>0.571</v>
      </c>
      <c r="AD202" s="13">
        <v>2991.636</v>
      </c>
      <c r="AE202" s="13">
        <v>4142.981</v>
      </c>
      <c r="AF202" s="49">
        <v>3408.041</v>
      </c>
      <c r="AG202" s="49">
        <v>0</v>
      </c>
      <c r="AH202" s="49">
        <v>5201.43</v>
      </c>
      <c r="AI202" s="49">
        <v>89.422</v>
      </c>
      <c r="AJ202" s="49">
        <v>3527.526</v>
      </c>
      <c r="AK202" s="49">
        <v>13827.666</v>
      </c>
      <c r="AL202" s="49">
        <v>81.954</v>
      </c>
      <c r="AM202" s="14">
        <f t="shared" si="17"/>
        <v>49728.371999999996</v>
      </c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8"/>
      <c r="ED202" s="18"/>
      <c r="EE202" s="18"/>
      <c r="EF202" s="18"/>
      <c r="EG202" s="18"/>
      <c r="EH202" s="18"/>
      <c r="EI202" s="18"/>
      <c r="EJ202" s="18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</row>
    <row r="203" spans="1:159" s="19" customFormat="1" ht="15">
      <c r="A203" s="22">
        <v>37315</v>
      </c>
      <c r="B203" s="49">
        <f t="shared" si="12"/>
        <v>1472.503</v>
      </c>
      <c r="C203" s="13">
        <v>1387.673</v>
      </c>
      <c r="D203" s="13">
        <v>83.197</v>
      </c>
      <c r="E203" s="13">
        <v>1.633</v>
      </c>
      <c r="F203" s="49">
        <v>116.033</v>
      </c>
      <c r="G203" s="49">
        <f t="shared" si="13"/>
        <v>3298.31</v>
      </c>
      <c r="H203" s="13">
        <v>493.984</v>
      </c>
      <c r="I203" s="13">
        <v>1083.626</v>
      </c>
      <c r="J203" s="13">
        <v>87.372</v>
      </c>
      <c r="K203" s="13">
        <v>89.734</v>
      </c>
      <c r="L203" s="13">
        <v>119.307</v>
      </c>
      <c r="M203" s="13">
        <v>162.196</v>
      </c>
      <c r="N203" s="13">
        <v>247.369</v>
      </c>
      <c r="O203" s="13">
        <v>169.777</v>
      </c>
      <c r="P203" s="13">
        <v>844.945</v>
      </c>
      <c r="Q203" s="49">
        <f t="shared" si="14"/>
        <v>1962.1709999999998</v>
      </c>
      <c r="R203" s="13">
        <v>1657.712</v>
      </c>
      <c r="S203" s="13">
        <v>273.455</v>
      </c>
      <c r="T203" s="13">
        <v>31.004</v>
      </c>
      <c r="U203" s="49">
        <v>255.642</v>
      </c>
      <c r="V203" s="49">
        <f t="shared" si="15"/>
        <v>3573.885</v>
      </c>
      <c r="W203" s="13">
        <v>2650.988</v>
      </c>
      <c r="X203" s="13">
        <v>60.896</v>
      </c>
      <c r="Y203" s="13">
        <v>862.001</v>
      </c>
      <c r="Z203" s="49">
        <v>1160.969</v>
      </c>
      <c r="AA203" s="49">
        <f t="shared" si="16"/>
        <v>12197.682</v>
      </c>
      <c r="AB203" s="13">
        <v>4541.022</v>
      </c>
      <c r="AC203" s="13">
        <v>0.304</v>
      </c>
      <c r="AD203" s="13">
        <v>3291.564</v>
      </c>
      <c r="AE203" s="13">
        <v>4364.792</v>
      </c>
      <c r="AF203" s="49">
        <v>3456.722</v>
      </c>
      <c r="AG203" s="49">
        <v>0</v>
      </c>
      <c r="AH203" s="49">
        <v>5313.833</v>
      </c>
      <c r="AI203" s="49">
        <v>94.604</v>
      </c>
      <c r="AJ203" s="49">
        <v>3598.447</v>
      </c>
      <c r="AK203" s="49">
        <v>14003.555</v>
      </c>
      <c r="AL203" s="49">
        <v>81.91</v>
      </c>
      <c r="AM203" s="14">
        <f t="shared" si="17"/>
        <v>50586.266</v>
      </c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8"/>
      <c r="ED203" s="18"/>
      <c r="EE203" s="18"/>
      <c r="EF203" s="18"/>
      <c r="EG203" s="18"/>
      <c r="EH203" s="18"/>
      <c r="EI203" s="18"/>
      <c r="EJ203" s="18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</row>
    <row r="204" spans="1:159" s="19" customFormat="1" ht="15">
      <c r="A204" s="22">
        <v>37346</v>
      </c>
      <c r="B204" s="49">
        <f t="shared" si="12"/>
        <v>1471.089</v>
      </c>
      <c r="C204" s="13">
        <v>1389.642</v>
      </c>
      <c r="D204" s="13">
        <v>77.993</v>
      </c>
      <c r="E204" s="13">
        <v>3.454</v>
      </c>
      <c r="F204" s="49">
        <v>107.104</v>
      </c>
      <c r="G204" s="49">
        <f t="shared" si="13"/>
        <v>3320.9010000000003</v>
      </c>
      <c r="H204" s="13">
        <v>510.11</v>
      </c>
      <c r="I204" s="13">
        <v>1206.036</v>
      </c>
      <c r="J204" s="13">
        <v>85.758</v>
      </c>
      <c r="K204" s="13">
        <v>93.025</v>
      </c>
      <c r="L204" s="13">
        <v>117.643</v>
      </c>
      <c r="M204" s="13">
        <v>161.131</v>
      </c>
      <c r="N204" s="13">
        <v>238.641</v>
      </c>
      <c r="O204" s="13">
        <v>96.006</v>
      </c>
      <c r="P204" s="13">
        <v>812.551</v>
      </c>
      <c r="Q204" s="49">
        <f t="shared" si="14"/>
        <v>1905.364</v>
      </c>
      <c r="R204" s="13">
        <v>1571.205</v>
      </c>
      <c r="S204" s="13">
        <v>300.565</v>
      </c>
      <c r="T204" s="13">
        <v>33.594</v>
      </c>
      <c r="U204" s="49">
        <v>220.479</v>
      </c>
      <c r="V204" s="49">
        <f t="shared" si="15"/>
        <v>3122.291</v>
      </c>
      <c r="W204" s="13">
        <v>2204.002</v>
      </c>
      <c r="X204" s="13">
        <v>57.145</v>
      </c>
      <c r="Y204" s="13">
        <v>861.144</v>
      </c>
      <c r="Z204" s="49">
        <v>1375.081</v>
      </c>
      <c r="AA204" s="49">
        <f t="shared" si="16"/>
        <v>13425.134999999998</v>
      </c>
      <c r="AB204" s="13">
        <v>5368.575</v>
      </c>
      <c r="AC204" s="13">
        <v>0.237</v>
      </c>
      <c r="AD204" s="13">
        <v>3181.328</v>
      </c>
      <c r="AE204" s="13">
        <v>4874.995</v>
      </c>
      <c r="AF204" s="49">
        <v>3794.65</v>
      </c>
      <c r="AG204" s="49">
        <v>0</v>
      </c>
      <c r="AH204" s="49">
        <v>5374.864</v>
      </c>
      <c r="AI204" s="49">
        <v>99.37</v>
      </c>
      <c r="AJ204" s="49">
        <v>3644.418</v>
      </c>
      <c r="AK204" s="49">
        <v>13412.278</v>
      </c>
      <c r="AL204" s="49">
        <v>81.645</v>
      </c>
      <c r="AM204" s="14">
        <f t="shared" si="17"/>
        <v>51354.668999999994</v>
      </c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8"/>
      <c r="ED204" s="18"/>
      <c r="EE204" s="18"/>
      <c r="EF204" s="18"/>
      <c r="EG204" s="18"/>
      <c r="EH204" s="18"/>
      <c r="EI204" s="18"/>
      <c r="EJ204" s="18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</row>
    <row r="205" spans="1:159" s="19" customFormat="1" ht="15">
      <c r="A205" s="22">
        <v>37376</v>
      </c>
      <c r="B205" s="49">
        <f aca="true" t="shared" si="18" ref="B205:B268">SUM(C205:E205)</f>
        <v>1479.0240000000001</v>
      </c>
      <c r="C205" s="13">
        <v>1399.179</v>
      </c>
      <c r="D205" s="13">
        <v>78.445</v>
      </c>
      <c r="E205" s="13">
        <v>1.4</v>
      </c>
      <c r="F205" s="49">
        <v>113.299</v>
      </c>
      <c r="G205" s="49">
        <f aca="true" t="shared" si="19" ref="G205:G268">SUM(H205:P205)</f>
        <v>3017.089</v>
      </c>
      <c r="H205" s="13">
        <v>491.51</v>
      </c>
      <c r="I205" s="13">
        <v>833.227</v>
      </c>
      <c r="J205" s="13">
        <v>80.74</v>
      </c>
      <c r="K205" s="13">
        <v>92.873</v>
      </c>
      <c r="L205" s="13">
        <v>117.591</v>
      </c>
      <c r="M205" s="13">
        <v>207.542</v>
      </c>
      <c r="N205" s="13">
        <v>263.929</v>
      </c>
      <c r="O205" s="13">
        <v>105.56</v>
      </c>
      <c r="P205" s="13">
        <v>824.117</v>
      </c>
      <c r="Q205" s="49">
        <f aca="true" t="shared" si="20" ref="Q205:Q268">SUM(R205:T205)</f>
        <v>2232.152</v>
      </c>
      <c r="R205" s="13">
        <v>1899.079</v>
      </c>
      <c r="S205" s="13">
        <v>283.441</v>
      </c>
      <c r="T205" s="13">
        <v>49.632</v>
      </c>
      <c r="U205" s="49">
        <v>1342.441</v>
      </c>
      <c r="V205" s="49">
        <f aca="true" t="shared" si="21" ref="V205:V268">SUM(W205:Y205)</f>
        <v>3842.367</v>
      </c>
      <c r="W205" s="13">
        <v>2920.637</v>
      </c>
      <c r="X205" s="13">
        <v>59</v>
      </c>
      <c r="Y205" s="13">
        <v>862.73</v>
      </c>
      <c r="Z205" s="49">
        <v>1788.202</v>
      </c>
      <c r="AA205" s="49">
        <f aca="true" t="shared" si="22" ref="AA205:AA268">SUM(AB205:AE205)</f>
        <v>14328.328</v>
      </c>
      <c r="AB205" s="13">
        <v>5337.346</v>
      </c>
      <c r="AC205" s="13">
        <v>0.229</v>
      </c>
      <c r="AD205" s="13">
        <v>3318.421</v>
      </c>
      <c r="AE205" s="13">
        <v>5672.332</v>
      </c>
      <c r="AF205" s="49">
        <v>3487.084</v>
      </c>
      <c r="AG205" s="49">
        <v>0</v>
      </c>
      <c r="AH205" s="49">
        <v>5726.442</v>
      </c>
      <c r="AI205" s="49">
        <v>93.982</v>
      </c>
      <c r="AJ205" s="49">
        <v>3669.843</v>
      </c>
      <c r="AK205" s="49">
        <v>13863.059</v>
      </c>
      <c r="AL205" s="49">
        <v>79.837</v>
      </c>
      <c r="AM205" s="14">
        <f aca="true" t="shared" si="23" ref="AM205:AM268">+B205+F205+G205+Q205+U205+V205+Z205+AA205+AF205+AH205+AI205+AJ205+AK205+AL205+AG205</f>
        <v>55063.149000000005</v>
      </c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8"/>
      <c r="ED205" s="18"/>
      <c r="EE205" s="18"/>
      <c r="EF205" s="18"/>
      <c r="EG205" s="18"/>
      <c r="EH205" s="18"/>
      <c r="EI205" s="18"/>
      <c r="EJ205" s="18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</row>
    <row r="206" spans="1:159" s="19" customFormat="1" ht="15">
      <c r="A206" s="22">
        <v>37407</v>
      </c>
      <c r="B206" s="49">
        <f t="shared" si="18"/>
        <v>1446.642</v>
      </c>
      <c r="C206" s="13">
        <v>1364.544</v>
      </c>
      <c r="D206" s="13">
        <v>80.69</v>
      </c>
      <c r="E206" s="13">
        <v>1.408</v>
      </c>
      <c r="F206" s="49">
        <v>122.082</v>
      </c>
      <c r="G206" s="49">
        <f t="shared" si="19"/>
        <v>3117.64</v>
      </c>
      <c r="H206" s="13">
        <v>523.588</v>
      </c>
      <c r="I206" s="13">
        <v>848.141</v>
      </c>
      <c r="J206" s="13">
        <v>77.26</v>
      </c>
      <c r="K206" s="13">
        <v>72.837</v>
      </c>
      <c r="L206" s="13">
        <v>115.339</v>
      </c>
      <c r="M206" s="13">
        <v>189.084</v>
      </c>
      <c r="N206" s="13">
        <v>228.222</v>
      </c>
      <c r="O206" s="13">
        <v>120.452</v>
      </c>
      <c r="P206" s="13">
        <v>942.717</v>
      </c>
      <c r="Q206" s="49">
        <f t="shared" si="20"/>
        <v>2375.064</v>
      </c>
      <c r="R206" s="13">
        <v>1997.657</v>
      </c>
      <c r="S206" s="13">
        <v>329.66</v>
      </c>
      <c r="T206" s="13">
        <v>47.747</v>
      </c>
      <c r="U206" s="49">
        <v>805.247</v>
      </c>
      <c r="V206" s="49">
        <f t="shared" si="21"/>
        <v>3921.1540000000005</v>
      </c>
      <c r="W206" s="13">
        <v>2943.737</v>
      </c>
      <c r="X206" s="13">
        <v>64.753</v>
      </c>
      <c r="Y206" s="13">
        <v>912.664</v>
      </c>
      <c r="Z206" s="49">
        <v>2156.006</v>
      </c>
      <c r="AA206" s="49">
        <f t="shared" si="22"/>
        <v>15125.343</v>
      </c>
      <c r="AB206" s="13">
        <v>5168.7</v>
      </c>
      <c r="AC206" s="13">
        <v>0.212</v>
      </c>
      <c r="AD206" s="13">
        <v>3541.45</v>
      </c>
      <c r="AE206" s="13">
        <v>6414.981</v>
      </c>
      <c r="AF206" s="49">
        <v>3658.931</v>
      </c>
      <c r="AG206" s="49">
        <v>0</v>
      </c>
      <c r="AH206" s="49">
        <v>5456.106</v>
      </c>
      <c r="AI206" s="49">
        <v>105.611</v>
      </c>
      <c r="AJ206" s="49">
        <v>4041.414</v>
      </c>
      <c r="AK206" s="49">
        <v>14058.069</v>
      </c>
      <c r="AL206" s="49">
        <v>71.612</v>
      </c>
      <c r="AM206" s="14">
        <f t="shared" si="23"/>
        <v>56460.920999999995</v>
      </c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8"/>
      <c r="ED206" s="18"/>
      <c r="EE206" s="18"/>
      <c r="EF206" s="18"/>
      <c r="EG206" s="18"/>
      <c r="EH206" s="18"/>
      <c r="EI206" s="18"/>
      <c r="EJ206" s="18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</row>
    <row r="207" spans="1:159" s="19" customFormat="1" ht="15">
      <c r="A207" s="22">
        <v>37437</v>
      </c>
      <c r="B207" s="49">
        <f t="shared" si="18"/>
        <v>1450.673</v>
      </c>
      <c r="C207" s="13">
        <v>1368.544</v>
      </c>
      <c r="D207" s="13">
        <v>80.761</v>
      </c>
      <c r="E207" s="13">
        <v>1.368</v>
      </c>
      <c r="F207" s="49">
        <v>101.965</v>
      </c>
      <c r="G207" s="49">
        <f t="shared" si="19"/>
        <v>3460.879</v>
      </c>
      <c r="H207" s="13">
        <v>743.567</v>
      </c>
      <c r="I207" s="13">
        <v>887.896</v>
      </c>
      <c r="J207" s="13">
        <v>76.883</v>
      </c>
      <c r="K207" s="13">
        <v>75.193</v>
      </c>
      <c r="L207" s="13">
        <v>114.644</v>
      </c>
      <c r="M207" s="13">
        <v>204.15</v>
      </c>
      <c r="N207" s="13">
        <v>256.327</v>
      </c>
      <c r="O207" s="13">
        <v>158.407</v>
      </c>
      <c r="P207" s="13">
        <v>943.812</v>
      </c>
      <c r="Q207" s="49">
        <f t="shared" si="20"/>
        <v>2322.564</v>
      </c>
      <c r="R207" s="13">
        <v>1936.001</v>
      </c>
      <c r="S207" s="13">
        <v>341.575</v>
      </c>
      <c r="T207" s="13">
        <v>44.988</v>
      </c>
      <c r="U207" s="49">
        <v>712.077</v>
      </c>
      <c r="V207" s="49">
        <f t="shared" si="21"/>
        <v>3996.259</v>
      </c>
      <c r="W207" s="13">
        <v>3030.99</v>
      </c>
      <c r="X207" s="13">
        <v>58.193</v>
      </c>
      <c r="Y207" s="13">
        <v>907.076</v>
      </c>
      <c r="Z207" s="49">
        <v>2215.826</v>
      </c>
      <c r="AA207" s="49">
        <f t="shared" si="22"/>
        <v>15793.828000000001</v>
      </c>
      <c r="AB207" s="13">
        <v>4979.676</v>
      </c>
      <c r="AC207" s="13">
        <v>0.314</v>
      </c>
      <c r="AD207" s="13">
        <v>4085.773</v>
      </c>
      <c r="AE207" s="13">
        <v>6728.065</v>
      </c>
      <c r="AF207" s="49">
        <v>3553.02</v>
      </c>
      <c r="AG207" s="49">
        <v>0</v>
      </c>
      <c r="AH207" s="49">
        <v>5705.227</v>
      </c>
      <c r="AI207" s="49">
        <v>111.247</v>
      </c>
      <c r="AJ207" s="49">
        <v>4131.44</v>
      </c>
      <c r="AK207" s="49">
        <v>14473.258</v>
      </c>
      <c r="AL207" s="49">
        <v>72.505</v>
      </c>
      <c r="AM207" s="14">
        <f t="shared" si="23"/>
        <v>58100.768000000004</v>
      </c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8"/>
      <c r="ED207" s="18"/>
      <c r="EE207" s="18"/>
      <c r="EF207" s="18"/>
      <c r="EG207" s="18"/>
      <c r="EH207" s="18"/>
      <c r="EI207" s="18"/>
      <c r="EJ207" s="18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</row>
    <row r="208" spans="1:159" s="19" customFormat="1" ht="15">
      <c r="A208" s="22">
        <v>37468</v>
      </c>
      <c r="B208" s="49">
        <f t="shared" si="18"/>
        <v>1445.888</v>
      </c>
      <c r="C208" s="13">
        <v>1355.347</v>
      </c>
      <c r="D208" s="13">
        <v>89.177</v>
      </c>
      <c r="E208" s="13">
        <v>1.364</v>
      </c>
      <c r="F208" s="49">
        <v>106.398</v>
      </c>
      <c r="G208" s="49">
        <f t="shared" si="19"/>
        <v>3538.21</v>
      </c>
      <c r="H208" s="13">
        <v>752.624</v>
      </c>
      <c r="I208" s="13">
        <v>850.044</v>
      </c>
      <c r="J208" s="13">
        <v>79.236</v>
      </c>
      <c r="K208" s="13">
        <v>68.338</v>
      </c>
      <c r="L208" s="13">
        <v>115.856</v>
      </c>
      <c r="M208" s="13">
        <v>210.141</v>
      </c>
      <c r="N208" s="13">
        <v>374.713</v>
      </c>
      <c r="O208" s="13">
        <v>144.356</v>
      </c>
      <c r="P208" s="13">
        <v>942.902</v>
      </c>
      <c r="Q208" s="49">
        <f t="shared" si="20"/>
        <v>2323.9179999999997</v>
      </c>
      <c r="R208" s="13">
        <v>1913.149</v>
      </c>
      <c r="S208" s="13">
        <v>363.796</v>
      </c>
      <c r="T208" s="13">
        <v>46.973</v>
      </c>
      <c r="U208" s="49">
        <v>1479.028</v>
      </c>
      <c r="V208" s="49">
        <f t="shared" si="21"/>
        <v>3976.222</v>
      </c>
      <c r="W208" s="13">
        <v>3022.992</v>
      </c>
      <c r="X208" s="13">
        <v>51.974</v>
      </c>
      <c r="Y208" s="13">
        <v>901.256</v>
      </c>
      <c r="Z208" s="49">
        <v>2198.676</v>
      </c>
      <c r="AA208" s="49">
        <f t="shared" si="22"/>
        <v>17000.674</v>
      </c>
      <c r="AB208" s="13">
        <v>5053.295</v>
      </c>
      <c r="AC208" s="13">
        <v>0.407</v>
      </c>
      <c r="AD208" s="13">
        <v>4443.103</v>
      </c>
      <c r="AE208" s="13">
        <v>7503.869</v>
      </c>
      <c r="AF208" s="49">
        <v>3390.827</v>
      </c>
      <c r="AG208" s="49">
        <v>0</v>
      </c>
      <c r="AH208" s="49">
        <v>6019.866</v>
      </c>
      <c r="AI208" s="49">
        <v>146.679</v>
      </c>
      <c r="AJ208" s="49">
        <v>3724.181</v>
      </c>
      <c r="AK208" s="49">
        <v>14742.894</v>
      </c>
      <c r="AL208" s="49">
        <v>72.787</v>
      </c>
      <c r="AM208" s="14">
        <f t="shared" si="23"/>
        <v>60166.247999999985</v>
      </c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8"/>
      <c r="ED208" s="18"/>
      <c r="EE208" s="18"/>
      <c r="EF208" s="18"/>
      <c r="EG208" s="18"/>
      <c r="EH208" s="18"/>
      <c r="EI208" s="18"/>
      <c r="EJ208" s="18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</row>
    <row r="209" spans="1:159" s="19" customFormat="1" ht="15">
      <c r="A209" s="22">
        <v>37499</v>
      </c>
      <c r="B209" s="49">
        <f t="shared" si="18"/>
        <v>1432.233</v>
      </c>
      <c r="C209" s="13">
        <v>1341.984</v>
      </c>
      <c r="D209" s="13">
        <v>88.924</v>
      </c>
      <c r="E209" s="13">
        <v>1.325</v>
      </c>
      <c r="F209" s="49">
        <v>107.998</v>
      </c>
      <c r="G209" s="49">
        <f t="shared" si="19"/>
        <v>3552.004</v>
      </c>
      <c r="H209" s="13">
        <v>736.557</v>
      </c>
      <c r="I209" s="13">
        <v>926.901</v>
      </c>
      <c r="J209" s="13">
        <v>143.434</v>
      </c>
      <c r="K209" s="13">
        <v>70.734</v>
      </c>
      <c r="L209" s="13">
        <v>114.135</v>
      </c>
      <c r="M209" s="13">
        <v>194.111</v>
      </c>
      <c r="N209" s="13">
        <v>254.418</v>
      </c>
      <c r="O209" s="13">
        <v>157.313</v>
      </c>
      <c r="P209" s="13">
        <v>954.401</v>
      </c>
      <c r="Q209" s="49">
        <f t="shared" si="20"/>
        <v>2486.809</v>
      </c>
      <c r="R209" s="13">
        <v>2077.919</v>
      </c>
      <c r="S209" s="13">
        <v>355.135</v>
      </c>
      <c r="T209" s="13">
        <v>53.755</v>
      </c>
      <c r="U209" s="49">
        <v>1254.655</v>
      </c>
      <c r="V209" s="49">
        <f t="shared" si="21"/>
        <v>4072.877</v>
      </c>
      <c r="W209" s="13">
        <v>3098.596</v>
      </c>
      <c r="X209" s="13">
        <v>52.025</v>
      </c>
      <c r="Y209" s="13">
        <v>922.256</v>
      </c>
      <c r="Z209" s="49">
        <v>2657.35</v>
      </c>
      <c r="AA209" s="49">
        <f t="shared" si="22"/>
        <v>17799.376</v>
      </c>
      <c r="AB209" s="13">
        <v>4836.846</v>
      </c>
      <c r="AC209" s="13">
        <v>0.183</v>
      </c>
      <c r="AD209" s="13">
        <v>4393.74</v>
      </c>
      <c r="AE209" s="13">
        <v>8568.607</v>
      </c>
      <c r="AF209" s="49">
        <v>3560.352</v>
      </c>
      <c r="AG209" s="49">
        <v>0</v>
      </c>
      <c r="AH209" s="49">
        <v>6275.451</v>
      </c>
      <c r="AI209" s="49">
        <v>151.188</v>
      </c>
      <c r="AJ209" s="49">
        <v>3910.92</v>
      </c>
      <c r="AK209" s="49">
        <v>14850.08</v>
      </c>
      <c r="AL209" s="49">
        <v>82.514</v>
      </c>
      <c r="AM209" s="14">
        <f t="shared" si="23"/>
        <v>62193.80700000001</v>
      </c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8"/>
      <c r="ED209" s="18"/>
      <c r="EE209" s="18"/>
      <c r="EF209" s="18"/>
      <c r="EG209" s="18"/>
      <c r="EH209" s="18"/>
      <c r="EI209" s="18"/>
      <c r="EJ209" s="18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</row>
    <row r="210" spans="1:159" s="19" customFormat="1" ht="15">
      <c r="A210" s="22">
        <v>37529</v>
      </c>
      <c r="B210" s="49">
        <f t="shared" si="18"/>
        <v>1408.1100000000001</v>
      </c>
      <c r="C210" s="13">
        <v>1325.992</v>
      </c>
      <c r="D210" s="13">
        <v>80.785</v>
      </c>
      <c r="E210" s="13">
        <v>1.333</v>
      </c>
      <c r="F210" s="49">
        <v>106.528</v>
      </c>
      <c r="G210" s="49">
        <f t="shared" si="19"/>
        <v>3660.316</v>
      </c>
      <c r="H210" s="13">
        <v>725.521</v>
      </c>
      <c r="I210" s="13">
        <v>907.062</v>
      </c>
      <c r="J210" s="13">
        <v>152.76</v>
      </c>
      <c r="K210" s="13">
        <v>71.916</v>
      </c>
      <c r="L210" s="13">
        <v>115.015</v>
      </c>
      <c r="M210" s="13">
        <v>227.275</v>
      </c>
      <c r="N210" s="13">
        <v>312.96</v>
      </c>
      <c r="O210" s="13">
        <v>164.973</v>
      </c>
      <c r="P210" s="13">
        <v>982.834</v>
      </c>
      <c r="Q210" s="49">
        <f t="shared" si="20"/>
        <v>2749.476</v>
      </c>
      <c r="R210" s="13">
        <v>2326.858</v>
      </c>
      <c r="S210" s="13">
        <v>367.785</v>
      </c>
      <c r="T210" s="13">
        <v>54.833</v>
      </c>
      <c r="U210" s="49">
        <v>1545.705</v>
      </c>
      <c r="V210" s="49">
        <f t="shared" si="21"/>
        <v>4167.509</v>
      </c>
      <c r="W210" s="13">
        <v>3182.055</v>
      </c>
      <c r="X210" s="13">
        <v>54.849</v>
      </c>
      <c r="Y210" s="13">
        <v>930.605</v>
      </c>
      <c r="Z210" s="49">
        <v>2673.391</v>
      </c>
      <c r="AA210" s="49">
        <f t="shared" si="22"/>
        <v>20784.398</v>
      </c>
      <c r="AB210" s="13">
        <v>6286.04</v>
      </c>
      <c r="AC210" s="13">
        <v>0.547</v>
      </c>
      <c r="AD210" s="13">
        <v>4586.57</v>
      </c>
      <c r="AE210" s="13">
        <v>9911.241</v>
      </c>
      <c r="AF210" s="49">
        <v>3624.53</v>
      </c>
      <c r="AG210" s="49">
        <v>0</v>
      </c>
      <c r="AH210" s="49">
        <v>6654.827</v>
      </c>
      <c r="AI210" s="49">
        <v>145.97</v>
      </c>
      <c r="AJ210" s="49">
        <v>4252.812</v>
      </c>
      <c r="AK210" s="49">
        <v>15184.524</v>
      </c>
      <c r="AL210" s="49">
        <v>87.882</v>
      </c>
      <c r="AM210" s="14">
        <f t="shared" si="23"/>
        <v>67045.978</v>
      </c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8"/>
      <c r="ED210" s="18"/>
      <c r="EE210" s="18"/>
      <c r="EF210" s="18"/>
      <c r="EG210" s="18"/>
      <c r="EH210" s="18"/>
      <c r="EI210" s="18"/>
      <c r="EJ210" s="18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</row>
    <row r="211" spans="1:159" s="19" customFormat="1" ht="15">
      <c r="A211" s="22">
        <v>37560</v>
      </c>
      <c r="B211" s="49">
        <f t="shared" si="18"/>
        <v>1656.562</v>
      </c>
      <c r="C211" s="13">
        <v>1338.707</v>
      </c>
      <c r="D211" s="13">
        <v>83.005</v>
      </c>
      <c r="E211" s="13">
        <v>234.85</v>
      </c>
      <c r="F211" s="49">
        <v>107.745</v>
      </c>
      <c r="G211" s="49">
        <f t="shared" si="19"/>
        <v>3475.2530000000006</v>
      </c>
      <c r="H211" s="13">
        <v>723.994</v>
      </c>
      <c r="I211" s="13">
        <v>819.085</v>
      </c>
      <c r="J211" s="13">
        <v>100.2</v>
      </c>
      <c r="K211" s="13">
        <v>89.708</v>
      </c>
      <c r="L211" s="13">
        <v>101.922</v>
      </c>
      <c r="M211" s="13">
        <v>178.831</v>
      </c>
      <c r="N211" s="13">
        <v>304.983</v>
      </c>
      <c r="O211" s="13">
        <v>137.414</v>
      </c>
      <c r="P211" s="13">
        <v>1019.116</v>
      </c>
      <c r="Q211" s="49">
        <f t="shared" si="20"/>
        <v>3090.7599999999998</v>
      </c>
      <c r="R211" s="13">
        <v>2659.287</v>
      </c>
      <c r="S211" s="13">
        <v>369.903</v>
      </c>
      <c r="T211" s="13">
        <v>61.57</v>
      </c>
      <c r="U211" s="49">
        <v>1516.947</v>
      </c>
      <c r="V211" s="49">
        <f t="shared" si="21"/>
        <v>3992.601</v>
      </c>
      <c r="W211" s="13">
        <v>3002.697</v>
      </c>
      <c r="X211" s="13">
        <v>53.707</v>
      </c>
      <c r="Y211" s="13">
        <v>936.197</v>
      </c>
      <c r="Z211" s="49">
        <v>2210.499</v>
      </c>
      <c r="AA211" s="49">
        <f t="shared" si="22"/>
        <v>21397.979</v>
      </c>
      <c r="AB211" s="13">
        <v>6394.69</v>
      </c>
      <c r="AC211" s="13">
        <v>2.184</v>
      </c>
      <c r="AD211" s="13">
        <v>5178.446</v>
      </c>
      <c r="AE211" s="13">
        <v>9822.659</v>
      </c>
      <c r="AF211" s="49">
        <v>4322.352</v>
      </c>
      <c r="AG211" s="49">
        <v>0</v>
      </c>
      <c r="AH211" s="49">
        <v>6798.927</v>
      </c>
      <c r="AI211" s="49">
        <v>160.922</v>
      </c>
      <c r="AJ211" s="49">
        <v>4205.412</v>
      </c>
      <c r="AK211" s="49">
        <v>15354.052</v>
      </c>
      <c r="AL211" s="49">
        <v>90.713</v>
      </c>
      <c r="AM211" s="14">
        <f t="shared" si="23"/>
        <v>68380.724</v>
      </c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8"/>
      <c r="ED211" s="18"/>
      <c r="EE211" s="18"/>
      <c r="EF211" s="18"/>
      <c r="EG211" s="18"/>
      <c r="EH211" s="18"/>
      <c r="EI211" s="18"/>
      <c r="EJ211" s="18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</row>
    <row r="212" spans="1:159" s="19" customFormat="1" ht="15">
      <c r="A212" s="22">
        <v>37590</v>
      </c>
      <c r="B212" s="49">
        <f t="shared" si="18"/>
        <v>1750.303</v>
      </c>
      <c r="C212" s="13">
        <v>1409.722</v>
      </c>
      <c r="D212" s="13">
        <v>81.948</v>
      </c>
      <c r="E212" s="13">
        <v>258.633</v>
      </c>
      <c r="F212" s="49">
        <v>107.544</v>
      </c>
      <c r="G212" s="49">
        <f t="shared" si="19"/>
        <v>3277.167</v>
      </c>
      <c r="H212" s="13">
        <v>584.414</v>
      </c>
      <c r="I212" s="13">
        <v>841.461</v>
      </c>
      <c r="J212" s="13">
        <v>115.175</v>
      </c>
      <c r="K212" s="13">
        <v>92.693</v>
      </c>
      <c r="L212" s="13">
        <v>99.696</v>
      </c>
      <c r="M212" s="13">
        <v>175.852</v>
      </c>
      <c r="N212" s="13">
        <v>253.2</v>
      </c>
      <c r="O212" s="13">
        <v>138.605</v>
      </c>
      <c r="P212" s="13">
        <v>976.071</v>
      </c>
      <c r="Q212" s="49">
        <f t="shared" si="20"/>
        <v>3214.821</v>
      </c>
      <c r="R212" s="13">
        <v>2801.587</v>
      </c>
      <c r="S212" s="13">
        <v>350.37</v>
      </c>
      <c r="T212" s="13">
        <v>62.864</v>
      </c>
      <c r="U212" s="49">
        <v>2617.158</v>
      </c>
      <c r="V212" s="49">
        <f t="shared" si="21"/>
        <v>5091.063</v>
      </c>
      <c r="W212" s="13">
        <v>3104.49</v>
      </c>
      <c r="X212" s="13">
        <v>52.13</v>
      </c>
      <c r="Y212" s="13">
        <v>1934.443</v>
      </c>
      <c r="Z212" s="49">
        <v>1822.534</v>
      </c>
      <c r="AA212" s="49">
        <f t="shared" si="22"/>
        <v>21667.153</v>
      </c>
      <c r="AB212" s="13">
        <v>6643.025</v>
      </c>
      <c r="AC212" s="13">
        <v>0.515</v>
      </c>
      <c r="AD212" s="13">
        <v>4885.991</v>
      </c>
      <c r="AE212" s="13">
        <v>10137.622</v>
      </c>
      <c r="AF212" s="49">
        <v>4044.005</v>
      </c>
      <c r="AG212" s="49">
        <v>0</v>
      </c>
      <c r="AH212" s="49">
        <v>6894.078</v>
      </c>
      <c r="AI212" s="49">
        <v>169.667</v>
      </c>
      <c r="AJ212" s="49">
        <v>4500.378</v>
      </c>
      <c r="AK212" s="49">
        <v>16137.701</v>
      </c>
      <c r="AL212" s="49">
        <v>85.155</v>
      </c>
      <c r="AM212" s="14">
        <f t="shared" si="23"/>
        <v>71378.727</v>
      </c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8"/>
      <c r="ED212" s="18"/>
      <c r="EE212" s="18"/>
      <c r="EF212" s="18"/>
      <c r="EG212" s="18"/>
      <c r="EH212" s="18"/>
      <c r="EI212" s="18"/>
      <c r="EJ212" s="18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</row>
    <row r="213" spans="1:159" s="19" customFormat="1" ht="15">
      <c r="A213" s="22">
        <v>37621</v>
      </c>
      <c r="B213" s="49">
        <f t="shared" si="18"/>
        <v>1737.8359999999998</v>
      </c>
      <c r="C213" s="13">
        <v>1401.915</v>
      </c>
      <c r="D213" s="13">
        <v>78.428</v>
      </c>
      <c r="E213" s="13">
        <v>257.493</v>
      </c>
      <c r="F213" s="49">
        <v>102.401</v>
      </c>
      <c r="G213" s="49">
        <f t="shared" si="19"/>
        <v>3178.1130000000003</v>
      </c>
      <c r="H213" s="13">
        <v>577.673</v>
      </c>
      <c r="I213" s="13">
        <v>826.791</v>
      </c>
      <c r="J213" s="13">
        <v>109.775</v>
      </c>
      <c r="K213" s="13">
        <v>65.999</v>
      </c>
      <c r="L213" s="13">
        <v>99.16</v>
      </c>
      <c r="M213" s="13">
        <v>188.001</v>
      </c>
      <c r="N213" s="13">
        <v>232.254</v>
      </c>
      <c r="O213" s="13">
        <v>138.824</v>
      </c>
      <c r="P213" s="13">
        <v>939.636</v>
      </c>
      <c r="Q213" s="49">
        <f t="shared" si="20"/>
        <v>3326.3799999999997</v>
      </c>
      <c r="R213" s="13">
        <v>2919.316</v>
      </c>
      <c r="S213" s="13">
        <v>345.752</v>
      </c>
      <c r="T213" s="13">
        <v>61.312</v>
      </c>
      <c r="U213" s="49">
        <v>2158.657</v>
      </c>
      <c r="V213" s="49">
        <f t="shared" si="21"/>
        <v>5443.128000000001</v>
      </c>
      <c r="W213" s="13">
        <v>3482.469</v>
      </c>
      <c r="X213" s="13">
        <v>14.431</v>
      </c>
      <c r="Y213" s="13">
        <v>1946.228</v>
      </c>
      <c r="Z213" s="49">
        <v>1826.303</v>
      </c>
      <c r="AA213" s="49">
        <f t="shared" si="22"/>
        <v>23061.299</v>
      </c>
      <c r="AB213" s="13">
        <v>7192.759</v>
      </c>
      <c r="AC213" s="13">
        <v>0.003</v>
      </c>
      <c r="AD213" s="13">
        <v>4124.828</v>
      </c>
      <c r="AE213" s="13">
        <v>11743.709</v>
      </c>
      <c r="AF213" s="49">
        <v>4512.373</v>
      </c>
      <c r="AG213" s="49">
        <v>0</v>
      </c>
      <c r="AH213" s="49">
        <v>7040.966</v>
      </c>
      <c r="AI213" s="49">
        <v>191.744</v>
      </c>
      <c r="AJ213" s="49">
        <v>4236.207</v>
      </c>
      <c r="AK213" s="49">
        <v>17047.245</v>
      </c>
      <c r="AL213" s="49">
        <v>80.667</v>
      </c>
      <c r="AM213" s="14">
        <f t="shared" si="23"/>
        <v>73943.319</v>
      </c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8"/>
      <c r="ED213" s="18"/>
      <c r="EE213" s="18"/>
      <c r="EF213" s="18"/>
      <c r="EG213" s="18"/>
      <c r="EH213" s="18"/>
      <c r="EI213" s="18"/>
      <c r="EJ213" s="18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</row>
    <row r="214" spans="1:159" s="19" customFormat="1" ht="15">
      <c r="A214" s="22">
        <v>37652</v>
      </c>
      <c r="B214" s="49">
        <f t="shared" si="18"/>
        <v>1653.592</v>
      </c>
      <c r="C214" s="13">
        <v>1316.767</v>
      </c>
      <c r="D214" s="13">
        <v>82.915</v>
      </c>
      <c r="E214" s="13">
        <v>253.91</v>
      </c>
      <c r="F214" s="49">
        <v>113.167</v>
      </c>
      <c r="G214" s="49">
        <f t="shared" si="19"/>
        <v>3586.895</v>
      </c>
      <c r="H214" s="13">
        <v>595.888</v>
      </c>
      <c r="I214" s="13">
        <v>1099.508</v>
      </c>
      <c r="J214" s="13">
        <v>109.091</v>
      </c>
      <c r="K214" s="13">
        <v>64.724</v>
      </c>
      <c r="L214" s="13">
        <v>92.875</v>
      </c>
      <c r="M214" s="13">
        <v>191.752</v>
      </c>
      <c r="N214" s="13">
        <v>227.644</v>
      </c>
      <c r="O214" s="13">
        <v>194.621</v>
      </c>
      <c r="P214" s="13">
        <v>1010.792</v>
      </c>
      <c r="Q214" s="49">
        <f t="shared" si="20"/>
        <v>3715.2980000000002</v>
      </c>
      <c r="R214" s="13">
        <v>3339.126</v>
      </c>
      <c r="S214" s="13">
        <v>339.715</v>
      </c>
      <c r="T214" s="13">
        <v>36.457</v>
      </c>
      <c r="U214" s="49">
        <v>2119.173</v>
      </c>
      <c r="V214" s="49">
        <f t="shared" si="21"/>
        <v>5656.147</v>
      </c>
      <c r="W214" s="13">
        <v>3584.489</v>
      </c>
      <c r="X214" s="13">
        <v>51.446</v>
      </c>
      <c r="Y214" s="13">
        <v>2020.212</v>
      </c>
      <c r="Z214" s="49">
        <v>2072.386</v>
      </c>
      <c r="AA214" s="49">
        <f t="shared" si="22"/>
        <v>24189.062</v>
      </c>
      <c r="AB214" s="13">
        <v>7715.779</v>
      </c>
      <c r="AC214" s="13">
        <v>0.066</v>
      </c>
      <c r="AD214" s="13">
        <v>4510.484</v>
      </c>
      <c r="AE214" s="13">
        <v>11962.733</v>
      </c>
      <c r="AF214" s="49">
        <v>4291.812</v>
      </c>
      <c r="AG214" s="49">
        <v>0</v>
      </c>
      <c r="AH214" s="49">
        <v>7102.65</v>
      </c>
      <c r="AI214" s="49">
        <v>137.695</v>
      </c>
      <c r="AJ214" s="49">
        <v>4524.035</v>
      </c>
      <c r="AK214" s="49">
        <v>16851.455</v>
      </c>
      <c r="AL214" s="49">
        <v>83.486</v>
      </c>
      <c r="AM214" s="14">
        <f t="shared" si="23"/>
        <v>76096.853</v>
      </c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8"/>
      <c r="ED214" s="18"/>
      <c r="EE214" s="18"/>
      <c r="EF214" s="18"/>
      <c r="EG214" s="18"/>
      <c r="EH214" s="18"/>
      <c r="EI214" s="18"/>
      <c r="EJ214" s="18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</row>
    <row r="215" spans="1:159" s="19" customFormat="1" ht="15">
      <c r="A215" s="22">
        <v>37680</v>
      </c>
      <c r="B215" s="49">
        <f t="shared" si="18"/>
        <v>1586.7839999999999</v>
      </c>
      <c r="C215" s="13">
        <v>1254.868</v>
      </c>
      <c r="D215" s="13">
        <v>72.609</v>
      </c>
      <c r="E215" s="13">
        <v>259.307</v>
      </c>
      <c r="F215" s="49">
        <v>149.791</v>
      </c>
      <c r="G215" s="49">
        <f t="shared" si="19"/>
        <v>3712.5150000000003</v>
      </c>
      <c r="H215" s="13">
        <v>586.543</v>
      </c>
      <c r="I215" s="13">
        <v>1140.261</v>
      </c>
      <c r="J215" s="13">
        <v>108.522</v>
      </c>
      <c r="K215" s="13">
        <v>61.173</v>
      </c>
      <c r="L215" s="13">
        <v>94.553</v>
      </c>
      <c r="M215" s="13">
        <v>173.274</v>
      </c>
      <c r="N215" s="13">
        <v>337.741</v>
      </c>
      <c r="O215" s="13">
        <v>169.373</v>
      </c>
      <c r="P215" s="13">
        <v>1041.075</v>
      </c>
      <c r="Q215" s="49">
        <f t="shared" si="20"/>
        <v>4113.465</v>
      </c>
      <c r="R215" s="13">
        <v>3737.175</v>
      </c>
      <c r="S215" s="13">
        <v>340.263</v>
      </c>
      <c r="T215" s="13">
        <v>36.027</v>
      </c>
      <c r="U215" s="49">
        <v>1680.545</v>
      </c>
      <c r="V215" s="49">
        <f t="shared" si="21"/>
        <v>5703.405</v>
      </c>
      <c r="W215" s="13">
        <v>3596.147</v>
      </c>
      <c r="X215" s="13">
        <v>63.145</v>
      </c>
      <c r="Y215" s="13">
        <v>2044.113</v>
      </c>
      <c r="Z215" s="49">
        <v>1862.659</v>
      </c>
      <c r="AA215" s="49">
        <f t="shared" si="22"/>
        <v>25397.371</v>
      </c>
      <c r="AB215" s="13">
        <v>7848.148</v>
      </c>
      <c r="AC215" s="13">
        <v>0.136</v>
      </c>
      <c r="AD215" s="13">
        <v>5545.575</v>
      </c>
      <c r="AE215" s="13">
        <v>12003.512</v>
      </c>
      <c r="AF215" s="49">
        <v>4459.537</v>
      </c>
      <c r="AG215" s="49">
        <v>0</v>
      </c>
      <c r="AH215" s="49">
        <v>7270.305</v>
      </c>
      <c r="AI215" s="49">
        <v>140.388</v>
      </c>
      <c r="AJ215" s="49">
        <v>4332.391</v>
      </c>
      <c r="AK215" s="49">
        <v>17903.34</v>
      </c>
      <c r="AL215" s="49">
        <v>80.821</v>
      </c>
      <c r="AM215" s="14">
        <f t="shared" si="23"/>
        <v>78393.317</v>
      </c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8"/>
      <c r="ED215" s="18"/>
      <c r="EE215" s="18"/>
      <c r="EF215" s="18"/>
      <c r="EG215" s="18"/>
      <c r="EH215" s="18"/>
      <c r="EI215" s="18"/>
      <c r="EJ215" s="18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</row>
    <row r="216" spans="1:159" s="19" customFormat="1" ht="15">
      <c r="A216" s="22">
        <v>37711</v>
      </c>
      <c r="B216" s="49">
        <f t="shared" si="18"/>
        <v>1589.289</v>
      </c>
      <c r="C216" s="13">
        <v>1250.182</v>
      </c>
      <c r="D216" s="13">
        <v>82.078</v>
      </c>
      <c r="E216" s="13">
        <v>257.029</v>
      </c>
      <c r="F216" s="49">
        <v>151.115</v>
      </c>
      <c r="G216" s="49">
        <f t="shared" si="19"/>
        <v>3439.365</v>
      </c>
      <c r="H216" s="13">
        <v>551.83</v>
      </c>
      <c r="I216" s="13">
        <v>964.441</v>
      </c>
      <c r="J216" s="13">
        <v>107.338</v>
      </c>
      <c r="K216" s="13">
        <v>60.754</v>
      </c>
      <c r="L216" s="13">
        <v>96.512</v>
      </c>
      <c r="M216" s="13">
        <v>187.531</v>
      </c>
      <c r="N216" s="13">
        <v>297.91</v>
      </c>
      <c r="O216" s="13">
        <v>156.245</v>
      </c>
      <c r="P216" s="13">
        <v>1016.804</v>
      </c>
      <c r="Q216" s="49">
        <f t="shared" si="20"/>
        <v>4188.372</v>
      </c>
      <c r="R216" s="13">
        <v>3785.086</v>
      </c>
      <c r="S216" s="13">
        <v>356.348</v>
      </c>
      <c r="T216" s="13">
        <v>46.938</v>
      </c>
      <c r="U216" s="49">
        <v>631.629</v>
      </c>
      <c r="V216" s="49">
        <f t="shared" si="21"/>
        <v>6146.393</v>
      </c>
      <c r="W216" s="13">
        <v>3967.584</v>
      </c>
      <c r="X216" s="13">
        <v>54.938</v>
      </c>
      <c r="Y216" s="13">
        <v>2123.871</v>
      </c>
      <c r="Z216" s="49">
        <v>1106.921</v>
      </c>
      <c r="AA216" s="49">
        <f t="shared" si="22"/>
        <v>26787.786</v>
      </c>
      <c r="AB216" s="13">
        <v>7981.781</v>
      </c>
      <c r="AC216" s="13">
        <v>0.672</v>
      </c>
      <c r="AD216" s="13">
        <v>6663.696</v>
      </c>
      <c r="AE216" s="13">
        <v>12141.637</v>
      </c>
      <c r="AF216" s="49">
        <v>4628.31</v>
      </c>
      <c r="AG216" s="49">
        <v>0</v>
      </c>
      <c r="AH216" s="49">
        <v>7736.101</v>
      </c>
      <c r="AI216" s="49">
        <v>145.251</v>
      </c>
      <c r="AJ216" s="49">
        <v>4111.543</v>
      </c>
      <c r="AK216" s="49">
        <v>18958.204</v>
      </c>
      <c r="AL216" s="49">
        <v>65.094</v>
      </c>
      <c r="AM216" s="14">
        <f t="shared" si="23"/>
        <v>79685.37299999999</v>
      </c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8"/>
      <c r="ED216" s="18"/>
      <c r="EE216" s="18"/>
      <c r="EF216" s="18"/>
      <c r="EG216" s="18"/>
      <c r="EH216" s="18"/>
      <c r="EI216" s="18"/>
      <c r="EJ216" s="18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</row>
    <row r="217" spans="1:159" s="19" customFormat="1" ht="15">
      <c r="A217" s="22">
        <v>37741</v>
      </c>
      <c r="B217" s="49">
        <f t="shared" si="18"/>
        <v>1598.653</v>
      </c>
      <c r="C217" s="13">
        <v>1234.306</v>
      </c>
      <c r="D217" s="13">
        <v>112.892</v>
      </c>
      <c r="E217" s="13">
        <v>251.455</v>
      </c>
      <c r="F217" s="49">
        <v>116.629</v>
      </c>
      <c r="G217" s="49">
        <f t="shared" si="19"/>
        <v>3728.179</v>
      </c>
      <c r="H217" s="13">
        <v>844.791</v>
      </c>
      <c r="I217" s="13">
        <v>954.5</v>
      </c>
      <c r="J217" s="13">
        <v>112.446</v>
      </c>
      <c r="K217" s="13">
        <v>62.63</v>
      </c>
      <c r="L217" s="13">
        <v>96.607</v>
      </c>
      <c r="M217" s="13">
        <v>213.442</v>
      </c>
      <c r="N217" s="13">
        <v>246.118</v>
      </c>
      <c r="O217" s="13">
        <v>176.123</v>
      </c>
      <c r="P217" s="13">
        <v>1021.522</v>
      </c>
      <c r="Q217" s="49">
        <f t="shared" si="20"/>
        <v>4429.326</v>
      </c>
      <c r="R217" s="13">
        <v>4017.978</v>
      </c>
      <c r="S217" s="13">
        <v>365.435</v>
      </c>
      <c r="T217" s="13">
        <v>45.913</v>
      </c>
      <c r="U217" s="49">
        <v>740.178</v>
      </c>
      <c r="V217" s="49">
        <f t="shared" si="21"/>
        <v>7114.134</v>
      </c>
      <c r="W217" s="13">
        <v>4044.001</v>
      </c>
      <c r="X217" s="13">
        <v>56.757</v>
      </c>
      <c r="Y217" s="13">
        <v>3013.376</v>
      </c>
      <c r="Z217" s="49">
        <v>718.624</v>
      </c>
      <c r="AA217" s="49">
        <f t="shared" si="22"/>
        <v>26793.129</v>
      </c>
      <c r="AB217" s="13">
        <v>7971.512</v>
      </c>
      <c r="AC217" s="13">
        <v>0.795</v>
      </c>
      <c r="AD217" s="13">
        <v>6777.917</v>
      </c>
      <c r="AE217" s="13">
        <v>12042.905</v>
      </c>
      <c r="AF217" s="49">
        <v>4657.905</v>
      </c>
      <c r="AG217" s="49">
        <v>0</v>
      </c>
      <c r="AH217" s="49">
        <v>9031.007</v>
      </c>
      <c r="AI217" s="49">
        <v>147.102</v>
      </c>
      <c r="AJ217" s="49">
        <v>4494.613</v>
      </c>
      <c r="AK217" s="49">
        <v>19364.778</v>
      </c>
      <c r="AL217" s="49">
        <v>89.143</v>
      </c>
      <c r="AM217" s="14">
        <f t="shared" si="23"/>
        <v>83023.39999999998</v>
      </c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8"/>
      <c r="ED217" s="18"/>
      <c r="EE217" s="18"/>
      <c r="EF217" s="18"/>
      <c r="EG217" s="18"/>
      <c r="EH217" s="18"/>
      <c r="EI217" s="18"/>
      <c r="EJ217" s="18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</row>
    <row r="218" spans="1:159" s="19" customFormat="1" ht="15">
      <c r="A218" s="22">
        <v>37772</v>
      </c>
      <c r="B218" s="49">
        <f t="shared" si="18"/>
        <v>1636.8029999999999</v>
      </c>
      <c r="C218" s="13">
        <v>1262.238</v>
      </c>
      <c r="D218" s="13">
        <v>125.916</v>
      </c>
      <c r="E218" s="13">
        <v>248.649</v>
      </c>
      <c r="F218" s="49">
        <v>111.808</v>
      </c>
      <c r="G218" s="49">
        <f t="shared" si="19"/>
        <v>3956.8190000000004</v>
      </c>
      <c r="H218" s="13">
        <v>862.931</v>
      </c>
      <c r="I218" s="13">
        <v>819.824</v>
      </c>
      <c r="J218" s="13">
        <v>110.82</v>
      </c>
      <c r="K218" s="13">
        <v>64.753</v>
      </c>
      <c r="L218" s="13">
        <v>86.846</v>
      </c>
      <c r="M218" s="13">
        <v>217.51</v>
      </c>
      <c r="N218" s="13">
        <v>324.011</v>
      </c>
      <c r="O218" s="13">
        <v>170.127</v>
      </c>
      <c r="P218" s="13">
        <v>1299.997</v>
      </c>
      <c r="Q218" s="49">
        <f t="shared" si="20"/>
        <v>4652.276</v>
      </c>
      <c r="R218" s="13">
        <v>4234.532</v>
      </c>
      <c r="S218" s="13">
        <v>373.553</v>
      </c>
      <c r="T218" s="13">
        <v>44.191</v>
      </c>
      <c r="U218" s="49">
        <v>691.531</v>
      </c>
      <c r="V218" s="49">
        <f t="shared" si="21"/>
        <v>7418.247</v>
      </c>
      <c r="W218" s="13">
        <v>4225.629</v>
      </c>
      <c r="X218" s="13">
        <v>59.72</v>
      </c>
      <c r="Y218" s="13">
        <v>3132.898</v>
      </c>
      <c r="Z218" s="49">
        <v>888.773</v>
      </c>
      <c r="AA218" s="49">
        <f t="shared" si="22"/>
        <v>26300.095</v>
      </c>
      <c r="AB218" s="13">
        <v>7850.255</v>
      </c>
      <c r="AC218" s="13">
        <v>0.616</v>
      </c>
      <c r="AD218" s="13">
        <v>6428.451</v>
      </c>
      <c r="AE218" s="13">
        <v>12020.773</v>
      </c>
      <c r="AF218" s="49">
        <v>5090.421</v>
      </c>
      <c r="AG218" s="49">
        <v>0</v>
      </c>
      <c r="AH218" s="49">
        <v>9469.124</v>
      </c>
      <c r="AI218" s="49">
        <v>138.09</v>
      </c>
      <c r="AJ218" s="49">
        <v>4686.283</v>
      </c>
      <c r="AK218" s="49">
        <v>20152.502</v>
      </c>
      <c r="AL218" s="49">
        <v>82.841</v>
      </c>
      <c r="AM218" s="14">
        <f t="shared" si="23"/>
        <v>85275.613</v>
      </c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8"/>
      <c r="ED218" s="18"/>
      <c r="EE218" s="18"/>
      <c r="EF218" s="18"/>
      <c r="EG218" s="18"/>
      <c r="EH218" s="18"/>
      <c r="EI218" s="18"/>
      <c r="EJ218" s="18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</row>
    <row r="219" spans="1:159" s="19" customFormat="1" ht="15">
      <c r="A219" s="22">
        <v>37802</v>
      </c>
      <c r="B219" s="49">
        <f t="shared" si="18"/>
        <v>1612.084</v>
      </c>
      <c r="C219" s="13">
        <v>1238.388</v>
      </c>
      <c r="D219" s="13">
        <v>114.786</v>
      </c>
      <c r="E219" s="13">
        <v>258.91</v>
      </c>
      <c r="F219" s="49">
        <v>104.405</v>
      </c>
      <c r="G219" s="49">
        <f t="shared" si="19"/>
        <v>3766.779</v>
      </c>
      <c r="H219" s="13">
        <v>815.147</v>
      </c>
      <c r="I219" s="13">
        <v>842.931</v>
      </c>
      <c r="J219" s="13">
        <v>113.826</v>
      </c>
      <c r="K219" s="13">
        <v>66.902</v>
      </c>
      <c r="L219" s="13">
        <v>86.985</v>
      </c>
      <c r="M219" s="13">
        <v>222.984</v>
      </c>
      <c r="N219" s="13">
        <v>299.305</v>
      </c>
      <c r="O219" s="13">
        <v>171.766</v>
      </c>
      <c r="P219" s="13">
        <v>1146.933</v>
      </c>
      <c r="Q219" s="49">
        <f t="shared" si="20"/>
        <v>4773.375999999999</v>
      </c>
      <c r="R219" s="13">
        <v>4606.348</v>
      </c>
      <c r="S219" s="13">
        <v>123.596</v>
      </c>
      <c r="T219" s="13">
        <v>43.432</v>
      </c>
      <c r="U219" s="49">
        <v>669.266</v>
      </c>
      <c r="V219" s="49">
        <f t="shared" si="21"/>
        <v>7306.967000000001</v>
      </c>
      <c r="W219" s="13">
        <v>4115.135</v>
      </c>
      <c r="X219" s="13">
        <v>56.47</v>
      </c>
      <c r="Y219" s="13">
        <v>3135.362</v>
      </c>
      <c r="Z219" s="49">
        <v>872.435</v>
      </c>
      <c r="AA219" s="49">
        <f t="shared" si="22"/>
        <v>26812.400999999998</v>
      </c>
      <c r="AB219" s="13">
        <v>7873.079</v>
      </c>
      <c r="AC219" s="13">
        <v>0.165</v>
      </c>
      <c r="AD219" s="13">
        <v>6791.826</v>
      </c>
      <c r="AE219" s="13">
        <v>12147.331</v>
      </c>
      <c r="AF219" s="49">
        <v>5699.846</v>
      </c>
      <c r="AG219" s="49">
        <v>0</v>
      </c>
      <c r="AH219" s="49">
        <v>9744.301</v>
      </c>
      <c r="AI219" s="49">
        <v>147.559</v>
      </c>
      <c r="AJ219" s="49">
        <v>4607.275</v>
      </c>
      <c r="AK219" s="49">
        <v>20885.037</v>
      </c>
      <c r="AL219" s="49">
        <v>65.647</v>
      </c>
      <c r="AM219" s="14">
        <f t="shared" si="23"/>
        <v>87067.378</v>
      </c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8"/>
      <c r="ED219" s="18"/>
      <c r="EE219" s="18"/>
      <c r="EF219" s="18"/>
      <c r="EG219" s="18"/>
      <c r="EH219" s="18"/>
      <c r="EI219" s="18"/>
      <c r="EJ219" s="18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</row>
    <row r="220" spans="1:159" s="19" customFormat="1" ht="15">
      <c r="A220" s="22">
        <v>37833</v>
      </c>
      <c r="B220" s="49">
        <f t="shared" si="18"/>
        <v>1595.758</v>
      </c>
      <c r="C220" s="13">
        <v>1213.879</v>
      </c>
      <c r="D220" s="13">
        <v>126.016</v>
      </c>
      <c r="E220" s="13">
        <v>255.863</v>
      </c>
      <c r="F220" s="49">
        <v>135.194</v>
      </c>
      <c r="G220" s="49">
        <f t="shared" si="19"/>
        <v>3764.092</v>
      </c>
      <c r="H220" s="13">
        <v>867.711</v>
      </c>
      <c r="I220" s="13">
        <v>773.023</v>
      </c>
      <c r="J220" s="13">
        <v>127.545</v>
      </c>
      <c r="K220" s="13">
        <v>66.261</v>
      </c>
      <c r="L220" s="13">
        <v>85.409</v>
      </c>
      <c r="M220" s="13">
        <v>240.528</v>
      </c>
      <c r="N220" s="13">
        <v>297.643</v>
      </c>
      <c r="O220" s="13">
        <v>169.465</v>
      </c>
      <c r="P220" s="13">
        <v>1136.507</v>
      </c>
      <c r="Q220" s="49">
        <f t="shared" si="20"/>
        <v>5215.634000000001</v>
      </c>
      <c r="R220" s="13">
        <v>5053.774</v>
      </c>
      <c r="S220" s="13">
        <v>115.501</v>
      </c>
      <c r="T220" s="13">
        <v>46.359</v>
      </c>
      <c r="U220" s="49">
        <v>695.622</v>
      </c>
      <c r="V220" s="49">
        <f t="shared" si="21"/>
        <v>7356.955</v>
      </c>
      <c r="W220" s="13">
        <v>4158.616</v>
      </c>
      <c r="X220" s="13">
        <v>53.187</v>
      </c>
      <c r="Y220" s="13">
        <v>3145.152</v>
      </c>
      <c r="Z220" s="49">
        <v>748.176</v>
      </c>
      <c r="AA220" s="49">
        <f t="shared" si="22"/>
        <v>27658.706000000002</v>
      </c>
      <c r="AB220" s="13">
        <v>7908.607</v>
      </c>
      <c r="AC220" s="13">
        <v>1.484</v>
      </c>
      <c r="AD220" s="13">
        <v>7650.415</v>
      </c>
      <c r="AE220" s="13">
        <v>12098.2</v>
      </c>
      <c r="AF220" s="49">
        <v>5674.012</v>
      </c>
      <c r="AG220" s="49">
        <v>0</v>
      </c>
      <c r="AH220" s="49">
        <v>10152.487</v>
      </c>
      <c r="AI220" s="49">
        <v>101.636</v>
      </c>
      <c r="AJ220" s="49">
        <v>4429.092</v>
      </c>
      <c r="AK220" s="49">
        <v>21549.336</v>
      </c>
      <c r="AL220" s="49">
        <v>64.515</v>
      </c>
      <c r="AM220" s="14">
        <f t="shared" si="23"/>
        <v>89141.215</v>
      </c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8"/>
      <c r="ED220" s="18"/>
      <c r="EE220" s="18"/>
      <c r="EF220" s="18"/>
      <c r="EG220" s="18"/>
      <c r="EH220" s="18"/>
      <c r="EI220" s="18"/>
      <c r="EJ220" s="18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</row>
    <row r="221" spans="1:159" s="19" customFormat="1" ht="15">
      <c r="A221" s="22">
        <v>37864</v>
      </c>
      <c r="B221" s="49">
        <f t="shared" si="18"/>
        <v>1588.7340000000002</v>
      </c>
      <c r="C221" s="13">
        <v>1207.356</v>
      </c>
      <c r="D221" s="13">
        <v>130.977</v>
      </c>
      <c r="E221" s="13">
        <v>250.401</v>
      </c>
      <c r="F221" s="49">
        <v>324.351</v>
      </c>
      <c r="G221" s="49">
        <f t="shared" si="19"/>
        <v>3833.813</v>
      </c>
      <c r="H221" s="13">
        <v>849.719</v>
      </c>
      <c r="I221" s="13">
        <v>809.818</v>
      </c>
      <c r="J221" s="13">
        <v>113.134</v>
      </c>
      <c r="K221" s="13">
        <v>65.037</v>
      </c>
      <c r="L221" s="13">
        <v>84.667</v>
      </c>
      <c r="M221" s="13">
        <v>257.964</v>
      </c>
      <c r="N221" s="13">
        <v>372.256</v>
      </c>
      <c r="O221" s="13">
        <v>161.693</v>
      </c>
      <c r="P221" s="13">
        <v>1119.525</v>
      </c>
      <c r="Q221" s="49">
        <f t="shared" si="20"/>
        <v>5989.552000000001</v>
      </c>
      <c r="R221" s="13">
        <v>5815.183</v>
      </c>
      <c r="S221" s="13">
        <v>123.939</v>
      </c>
      <c r="T221" s="13">
        <v>50.43</v>
      </c>
      <c r="U221" s="49">
        <v>742.835</v>
      </c>
      <c r="V221" s="49">
        <f t="shared" si="21"/>
        <v>8192.553</v>
      </c>
      <c r="W221" s="13">
        <v>5020.48</v>
      </c>
      <c r="X221" s="13">
        <v>46.061</v>
      </c>
      <c r="Y221" s="13">
        <v>3126.012</v>
      </c>
      <c r="Z221" s="49">
        <v>137.266</v>
      </c>
      <c r="AA221" s="49">
        <f t="shared" si="22"/>
        <v>27426.703999999998</v>
      </c>
      <c r="AB221" s="13">
        <v>7869.261</v>
      </c>
      <c r="AC221" s="13">
        <v>0.844</v>
      </c>
      <c r="AD221" s="13">
        <v>8044.124</v>
      </c>
      <c r="AE221" s="13">
        <v>11512.475</v>
      </c>
      <c r="AF221" s="49">
        <v>6179.993</v>
      </c>
      <c r="AG221" s="49">
        <v>0</v>
      </c>
      <c r="AH221" s="49">
        <v>10471.601</v>
      </c>
      <c r="AI221" s="49">
        <v>95.643</v>
      </c>
      <c r="AJ221" s="49">
        <v>4564.252</v>
      </c>
      <c r="AK221" s="49">
        <v>22404.574</v>
      </c>
      <c r="AL221" s="49">
        <v>60.553</v>
      </c>
      <c r="AM221" s="14">
        <f t="shared" si="23"/>
        <v>92012.42399999998</v>
      </c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8"/>
      <c r="ED221" s="18"/>
      <c r="EE221" s="18"/>
      <c r="EF221" s="18"/>
      <c r="EG221" s="18"/>
      <c r="EH221" s="18"/>
      <c r="EI221" s="18"/>
      <c r="EJ221" s="18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</row>
    <row r="222" spans="1:159" s="19" customFormat="1" ht="15">
      <c r="A222" s="22">
        <v>37894</v>
      </c>
      <c r="B222" s="49">
        <f t="shared" si="18"/>
        <v>1636.1909999999998</v>
      </c>
      <c r="C222" s="13">
        <v>1276.522</v>
      </c>
      <c r="D222" s="13">
        <v>112.745</v>
      </c>
      <c r="E222" s="13">
        <v>246.924</v>
      </c>
      <c r="F222" s="49">
        <v>322.344</v>
      </c>
      <c r="G222" s="49">
        <f t="shared" si="19"/>
        <v>3683.3</v>
      </c>
      <c r="H222" s="13">
        <v>864.62</v>
      </c>
      <c r="I222" s="13">
        <v>733.137</v>
      </c>
      <c r="J222" s="13">
        <v>111.666</v>
      </c>
      <c r="K222" s="13">
        <v>66.029</v>
      </c>
      <c r="L222" s="13">
        <v>80.049</v>
      </c>
      <c r="M222" s="13">
        <v>270.289</v>
      </c>
      <c r="N222" s="13">
        <v>281.896</v>
      </c>
      <c r="O222" s="13">
        <v>174.85</v>
      </c>
      <c r="P222" s="13">
        <v>1100.764</v>
      </c>
      <c r="Q222" s="49">
        <f t="shared" si="20"/>
        <v>6194.3009999999995</v>
      </c>
      <c r="R222" s="13">
        <v>5997.257</v>
      </c>
      <c r="S222" s="13">
        <v>151.164</v>
      </c>
      <c r="T222" s="13">
        <v>45.88</v>
      </c>
      <c r="U222" s="49">
        <v>456.369</v>
      </c>
      <c r="V222" s="49">
        <f t="shared" si="21"/>
        <v>8266.780999999999</v>
      </c>
      <c r="W222" s="13">
        <v>5070.968</v>
      </c>
      <c r="X222" s="13">
        <v>43.858</v>
      </c>
      <c r="Y222" s="13">
        <v>3151.955</v>
      </c>
      <c r="Z222" s="49">
        <v>693.209</v>
      </c>
      <c r="AA222" s="49">
        <f t="shared" si="22"/>
        <v>24858.1</v>
      </c>
      <c r="AB222" s="13">
        <v>7729.876</v>
      </c>
      <c r="AC222" s="13">
        <v>0.005</v>
      </c>
      <c r="AD222" s="13">
        <v>7780.205</v>
      </c>
      <c r="AE222" s="13">
        <v>9348.014</v>
      </c>
      <c r="AF222" s="49">
        <v>6195.695</v>
      </c>
      <c r="AG222" s="49">
        <v>0</v>
      </c>
      <c r="AH222" s="49">
        <v>10574.729</v>
      </c>
      <c r="AI222" s="49">
        <v>92.697</v>
      </c>
      <c r="AJ222" s="49">
        <v>4672.871</v>
      </c>
      <c r="AK222" s="49">
        <v>23547.443</v>
      </c>
      <c r="AL222" s="49">
        <v>60.824</v>
      </c>
      <c r="AM222" s="14">
        <f t="shared" si="23"/>
        <v>91254.85399999999</v>
      </c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8"/>
      <c r="ED222" s="18"/>
      <c r="EE222" s="18"/>
      <c r="EF222" s="18"/>
      <c r="EG222" s="18"/>
      <c r="EH222" s="18"/>
      <c r="EI222" s="18"/>
      <c r="EJ222" s="18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</row>
    <row r="223" spans="1:159" s="19" customFormat="1" ht="15">
      <c r="A223" s="22">
        <v>37925</v>
      </c>
      <c r="B223" s="49">
        <f t="shared" si="18"/>
        <v>1625.1370000000002</v>
      </c>
      <c r="C223" s="13">
        <v>1250.226</v>
      </c>
      <c r="D223" s="13">
        <v>120.929</v>
      </c>
      <c r="E223" s="13">
        <v>253.982</v>
      </c>
      <c r="F223" s="49">
        <v>286.026</v>
      </c>
      <c r="G223" s="49">
        <f t="shared" si="19"/>
        <v>3674.1720000000005</v>
      </c>
      <c r="H223" s="13">
        <v>631.641</v>
      </c>
      <c r="I223" s="13">
        <v>751.293</v>
      </c>
      <c r="J223" s="13">
        <v>120.395</v>
      </c>
      <c r="K223" s="13">
        <v>66.425</v>
      </c>
      <c r="L223" s="13">
        <v>108.51</v>
      </c>
      <c r="M223" s="13">
        <v>232.964</v>
      </c>
      <c r="N223" s="13">
        <v>347.683</v>
      </c>
      <c r="O223" s="13">
        <v>167.443</v>
      </c>
      <c r="P223" s="13">
        <v>1247.818</v>
      </c>
      <c r="Q223" s="49">
        <f t="shared" si="20"/>
        <v>6492.458</v>
      </c>
      <c r="R223" s="13">
        <v>6294.035</v>
      </c>
      <c r="S223" s="13">
        <v>151.973</v>
      </c>
      <c r="T223" s="13">
        <v>46.45</v>
      </c>
      <c r="U223" s="49">
        <v>619.457</v>
      </c>
      <c r="V223" s="49">
        <f t="shared" si="21"/>
        <v>7897.369</v>
      </c>
      <c r="W223" s="13">
        <v>4757.954</v>
      </c>
      <c r="X223" s="13">
        <v>43.121</v>
      </c>
      <c r="Y223" s="13">
        <v>3096.294</v>
      </c>
      <c r="Z223" s="49">
        <v>807.441</v>
      </c>
      <c r="AA223" s="49">
        <f t="shared" si="22"/>
        <v>26986.144</v>
      </c>
      <c r="AB223" s="13">
        <v>8511.47</v>
      </c>
      <c r="AC223" s="13">
        <v>0.004</v>
      </c>
      <c r="AD223" s="13">
        <v>8665.79</v>
      </c>
      <c r="AE223" s="13">
        <v>9808.88</v>
      </c>
      <c r="AF223" s="49">
        <v>6777.775</v>
      </c>
      <c r="AG223" s="49">
        <v>0</v>
      </c>
      <c r="AH223" s="49">
        <v>10835.638</v>
      </c>
      <c r="AI223" s="49">
        <v>95.195</v>
      </c>
      <c r="AJ223" s="49">
        <v>5361.605</v>
      </c>
      <c r="AK223" s="49">
        <v>24243.073</v>
      </c>
      <c r="AL223" s="49">
        <v>54.08</v>
      </c>
      <c r="AM223" s="14">
        <f t="shared" si="23"/>
        <v>95755.57</v>
      </c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8"/>
      <c r="ED223" s="18"/>
      <c r="EE223" s="18"/>
      <c r="EF223" s="18"/>
      <c r="EG223" s="18"/>
      <c r="EH223" s="18"/>
      <c r="EI223" s="18"/>
      <c r="EJ223" s="18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</row>
    <row r="224" spans="1:159" s="19" customFormat="1" ht="15">
      <c r="A224" s="22">
        <v>37955</v>
      </c>
      <c r="B224" s="49">
        <f t="shared" si="18"/>
        <v>1633.1350000000002</v>
      </c>
      <c r="C224" s="13">
        <v>1254.303</v>
      </c>
      <c r="D224" s="13">
        <v>131.2</v>
      </c>
      <c r="E224" s="13">
        <v>247.632</v>
      </c>
      <c r="F224" s="49">
        <v>225.87</v>
      </c>
      <c r="G224" s="49">
        <f t="shared" si="19"/>
        <v>3584.929</v>
      </c>
      <c r="H224" s="13">
        <v>611.99</v>
      </c>
      <c r="I224" s="13">
        <v>808.618</v>
      </c>
      <c r="J224" s="13">
        <v>114.553</v>
      </c>
      <c r="K224" s="13">
        <v>69.815</v>
      </c>
      <c r="L224" s="13">
        <v>105.517</v>
      </c>
      <c r="M224" s="13">
        <v>217.183</v>
      </c>
      <c r="N224" s="13">
        <v>353.038</v>
      </c>
      <c r="O224" s="13">
        <v>137.199</v>
      </c>
      <c r="P224" s="13">
        <v>1167.016</v>
      </c>
      <c r="Q224" s="49">
        <f t="shared" si="20"/>
        <v>6542.671</v>
      </c>
      <c r="R224" s="13">
        <v>6324.666</v>
      </c>
      <c r="S224" s="13">
        <v>171.601</v>
      </c>
      <c r="T224" s="13">
        <v>46.404</v>
      </c>
      <c r="U224" s="49">
        <v>474.235</v>
      </c>
      <c r="V224" s="49">
        <f t="shared" si="21"/>
        <v>8062.911</v>
      </c>
      <c r="W224" s="13">
        <v>4892.243</v>
      </c>
      <c r="X224" s="13">
        <v>43.364</v>
      </c>
      <c r="Y224" s="13">
        <v>3127.304</v>
      </c>
      <c r="Z224" s="49">
        <v>884.024</v>
      </c>
      <c r="AA224" s="49">
        <f t="shared" si="22"/>
        <v>27134.545000000002</v>
      </c>
      <c r="AB224" s="13">
        <v>9244.607</v>
      </c>
      <c r="AC224" s="13">
        <v>0.042</v>
      </c>
      <c r="AD224" s="13">
        <v>7698.607</v>
      </c>
      <c r="AE224" s="13">
        <v>10191.289</v>
      </c>
      <c r="AF224" s="49">
        <v>6945.647</v>
      </c>
      <c r="AG224" s="49">
        <v>0</v>
      </c>
      <c r="AH224" s="49">
        <v>11606.7</v>
      </c>
      <c r="AI224" s="49">
        <v>108.78</v>
      </c>
      <c r="AJ224" s="49">
        <v>5265.291</v>
      </c>
      <c r="AK224" s="49">
        <v>24994.492</v>
      </c>
      <c r="AL224" s="49">
        <v>53.916</v>
      </c>
      <c r="AM224" s="14">
        <f t="shared" si="23"/>
        <v>97517.146</v>
      </c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8"/>
      <c r="ED224" s="18"/>
      <c r="EE224" s="18"/>
      <c r="EF224" s="18"/>
      <c r="EG224" s="18"/>
      <c r="EH224" s="18"/>
      <c r="EI224" s="18"/>
      <c r="EJ224" s="18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</row>
    <row r="225" spans="1:159" s="19" customFormat="1" ht="15">
      <c r="A225" s="22">
        <v>37986</v>
      </c>
      <c r="B225" s="49">
        <f t="shared" si="18"/>
        <v>1421.563</v>
      </c>
      <c r="C225" s="13">
        <v>1062.537</v>
      </c>
      <c r="D225" s="13">
        <v>114.816</v>
      </c>
      <c r="E225" s="13">
        <v>244.21</v>
      </c>
      <c r="F225" s="49">
        <v>408.381</v>
      </c>
      <c r="G225" s="49">
        <f t="shared" si="19"/>
        <v>3462.814</v>
      </c>
      <c r="H225" s="13">
        <v>620.404</v>
      </c>
      <c r="I225" s="13">
        <v>794.01</v>
      </c>
      <c r="J225" s="13">
        <v>123.071</v>
      </c>
      <c r="K225" s="13">
        <v>59.297</v>
      </c>
      <c r="L225" s="13">
        <v>105.676</v>
      </c>
      <c r="M225" s="13">
        <v>220.593</v>
      </c>
      <c r="N225" s="13">
        <v>330.297</v>
      </c>
      <c r="O225" s="13">
        <v>141.06</v>
      </c>
      <c r="P225" s="13">
        <v>1068.406</v>
      </c>
      <c r="Q225" s="49">
        <f t="shared" si="20"/>
        <v>6694.695999999999</v>
      </c>
      <c r="R225" s="13">
        <v>6535.436</v>
      </c>
      <c r="S225" s="13">
        <v>112.516</v>
      </c>
      <c r="T225" s="13">
        <v>46.744</v>
      </c>
      <c r="U225" s="49">
        <v>431.029</v>
      </c>
      <c r="V225" s="49">
        <f t="shared" si="21"/>
        <v>8022.9</v>
      </c>
      <c r="W225" s="13">
        <v>4926.67</v>
      </c>
      <c r="X225" s="13">
        <v>42.784</v>
      </c>
      <c r="Y225" s="13">
        <v>3053.446</v>
      </c>
      <c r="Z225" s="49">
        <v>785.459</v>
      </c>
      <c r="AA225" s="49">
        <f t="shared" si="22"/>
        <v>27511.558</v>
      </c>
      <c r="AB225" s="13">
        <v>9541.741</v>
      </c>
      <c r="AC225" s="13">
        <v>2.749</v>
      </c>
      <c r="AD225" s="13">
        <v>8235.389</v>
      </c>
      <c r="AE225" s="13">
        <v>9731.679</v>
      </c>
      <c r="AF225" s="49">
        <v>7250.425</v>
      </c>
      <c r="AG225" s="49">
        <v>0</v>
      </c>
      <c r="AH225" s="49">
        <v>11908.545</v>
      </c>
      <c r="AI225" s="49">
        <v>103.695</v>
      </c>
      <c r="AJ225" s="49">
        <v>5182.042</v>
      </c>
      <c r="AK225" s="49">
        <v>25915.13</v>
      </c>
      <c r="AL225" s="49">
        <v>51.754</v>
      </c>
      <c r="AM225" s="14">
        <f t="shared" si="23"/>
        <v>99149.99100000001</v>
      </c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8"/>
      <c r="ED225" s="18"/>
      <c r="EE225" s="18"/>
      <c r="EF225" s="18"/>
      <c r="EG225" s="18"/>
      <c r="EH225" s="18"/>
      <c r="EI225" s="18"/>
      <c r="EJ225" s="18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</row>
    <row r="226" spans="1:159" s="19" customFormat="1" ht="15">
      <c r="A226" s="22">
        <v>38017</v>
      </c>
      <c r="B226" s="49">
        <f t="shared" si="18"/>
        <v>1420.3919999999998</v>
      </c>
      <c r="C226" s="13">
        <v>1060.53</v>
      </c>
      <c r="D226" s="13">
        <v>104.601</v>
      </c>
      <c r="E226" s="13">
        <v>255.261</v>
      </c>
      <c r="F226" s="49">
        <v>189.239</v>
      </c>
      <c r="G226" s="49">
        <f t="shared" si="19"/>
        <v>3416.5460000000003</v>
      </c>
      <c r="H226" s="13">
        <v>606.518</v>
      </c>
      <c r="I226" s="13">
        <v>762.748</v>
      </c>
      <c r="J226" s="13">
        <v>172.897</v>
      </c>
      <c r="K226" s="13">
        <v>62.765</v>
      </c>
      <c r="L226" s="13">
        <v>105.842</v>
      </c>
      <c r="M226" s="13">
        <v>220.408</v>
      </c>
      <c r="N226" s="13">
        <v>295.697</v>
      </c>
      <c r="O226" s="13">
        <v>142.857</v>
      </c>
      <c r="P226" s="13">
        <v>1046.814</v>
      </c>
      <c r="Q226" s="49">
        <f t="shared" si="20"/>
        <v>7084.972000000001</v>
      </c>
      <c r="R226" s="13">
        <v>6929.395</v>
      </c>
      <c r="S226" s="13">
        <v>109.915</v>
      </c>
      <c r="T226" s="13">
        <v>45.662</v>
      </c>
      <c r="U226" s="49">
        <v>473.282</v>
      </c>
      <c r="V226" s="49">
        <f t="shared" si="21"/>
        <v>8976.245</v>
      </c>
      <c r="W226" s="13">
        <v>5860.591</v>
      </c>
      <c r="X226" s="13">
        <v>42.947</v>
      </c>
      <c r="Y226" s="13">
        <v>3072.707</v>
      </c>
      <c r="Z226" s="49">
        <v>743.76</v>
      </c>
      <c r="AA226" s="49">
        <f t="shared" si="22"/>
        <v>26832.083</v>
      </c>
      <c r="AB226" s="13">
        <v>9285.474</v>
      </c>
      <c r="AC226" s="13">
        <v>2.709</v>
      </c>
      <c r="AD226" s="13">
        <v>8191.027</v>
      </c>
      <c r="AE226" s="13">
        <v>9352.873</v>
      </c>
      <c r="AF226" s="49">
        <v>5881.033</v>
      </c>
      <c r="AG226" s="49">
        <v>0</v>
      </c>
      <c r="AH226" s="49">
        <v>13145.2</v>
      </c>
      <c r="AI226" s="49">
        <v>103.279</v>
      </c>
      <c r="AJ226" s="49">
        <v>5258.099</v>
      </c>
      <c r="AK226" s="49">
        <v>26356.376</v>
      </c>
      <c r="AL226" s="49">
        <v>45.784</v>
      </c>
      <c r="AM226" s="14">
        <f t="shared" si="23"/>
        <v>99926.29000000001</v>
      </c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8"/>
      <c r="ED226" s="18"/>
      <c r="EE226" s="18"/>
      <c r="EF226" s="18"/>
      <c r="EG226" s="18"/>
      <c r="EH226" s="18"/>
      <c r="EI226" s="18"/>
      <c r="EJ226" s="18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</row>
    <row r="227" spans="1:159" s="19" customFormat="1" ht="15">
      <c r="A227" s="22">
        <v>38046</v>
      </c>
      <c r="B227" s="49">
        <f t="shared" si="18"/>
        <v>1818.57</v>
      </c>
      <c r="C227" s="13">
        <v>1511.091</v>
      </c>
      <c r="D227" s="13">
        <v>99.689</v>
      </c>
      <c r="E227" s="13">
        <v>207.79</v>
      </c>
      <c r="F227" s="49">
        <v>160.732</v>
      </c>
      <c r="G227" s="49">
        <f t="shared" si="19"/>
        <v>3541.695</v>
      </c>
      <c r="H227" s="13">
        <v>552.318</v>
      </c>
      <c r="I227" s="13">
        <f>(738748+3186)/1000</f>
        <v>741.934</v>
      </c>
      <c r="J227" s="13">
        <v>164.317</v>
      </c>
      <c r="K227" s="13">
        <v>68.349</v>
      </c>
      <c r="L227" s="13">
        <v>107.938</v>
      </c>
      <c r="M227" s="13">
        <v>229.932</v>
      </c>
      <c r="N227" s="13">
        <v>516.172</v>
      </c>
      <c r="O227" s="13">
        <v>180.636</v>
      </c>
      <c r="P227" s="13">
        <v>980.099</v>
      </c>
      <c r="Q227" s="49">
        <f t="shared" si="20"/>
        <v>6397.219999999999</v>
      </c>
      <c r="R227" s="13">
        <v>6252.08</v>
      </c>
      <c r="S227" s="13">
        <v>107.851</v>
      </c>
      <c r="T227" s="13">
        <v>37.289</v>
      </c>
      <c r="U227" s="49">
        <v>384.456</v>
      </c>
      <c r="V227" s="49">
        <f t="shared" si="21"/>
        <v>8930.415</v>
      </c>
      <c r="W227" s="13">
        <v>5794.164</v>
      </c>
      <c r="X227" s="13">
        <v>61.082</v>
      </c>
      <c r="Y227" s="13">
        <v>3075.169</v>
      </c>
      <c r="Z227" s="49">
        <v>797.104</v>
      </c>
      <c r="AA227" s="49">
        <f t="shared" si="22"/>
        <v>27483.907</v>
      </c>
      <c r="AB227" s="13">
        <v>9518.185</v>
      </c>
      <c r="AC227" s="13">
        <v>2.668</v>
      </c>
      <c r="AD227" s="13">
        <v>8163.745</v>
      </c>
      <c r="AE227" s="13">
        <v>9799.309</v>
      </c>
      <c r="AF227" s="49">
        <v>6435.145</v>
      </c>
      <c r="AG227" s="49">
        <v>0</v>
      </c>
      <c r="AH227" s="49">
        <v>13227.714</v>
      </c>
      <c r="AI227" s="49">
        <v>219.273</v>
      </c>
      <c r="AJ227" s="49">
        <v>5240.95</v>
      </c>
      <c r="AK227" s="49">
        <v>27300.365</v>
      </c>
      <c r="AL227" s="49">
        <v>42.908</v>
      </c>
      <c r="AM227" s="14">
        <f t="shared" si="23"/>
        <v>101980.45400000001</v>
      </c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8"/>
      <c r="ED227" s="18"/>
      <c r="EE227" s="18"/>
      <c r="EF227" s="18"/>
      <c r="EG227" s="18"/>
      <c r="EH227" s="18"/>
      <c r="EI227" s="18"/>
      <c r="EJ227" s="18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</row>
    <row r="228" spans="1:159" s="19" customFormat="1" ht="15">
      <c r="A228" s="22">
        <v>38077</v>
      </c>
      <c r="B228" s="49">
        <f t="shared" si="18"/>
        <v>1790.308</v>
      </c>
      <c r="C228" s="13">
        <v>1449.589</v>
      </c>
      <c r="D228" s="13">
        <v>100.392</v>
      </c>
      <c r="E228" s="13">
        <v>240.327</v>
      </c>
      <c r="F228" s="49">
        <v>150.968</v>
      </c>
      <c r="G228" s="49">
        <f t="shared" si="19"/>
        <v>3388.45</v>
      </c>
      <c r="H228" s="13">
        <v>535.546</v>
      </c>
      <c r="I228" s="13">
        <f>(741295+3176)/1000</f>
        <v>744.471</v>
      </c>
      <c r="J228" s="13">
        <v>161.645</v>
      </c>
      <c r="K228" s="13">
        <v>62.51</v>
      </c>
      <c r="L228" s="13">
        <v>102.961</v>
      </c>
      <c r="M228" s="13">
        <v>196.212</v>
      </c>
      <c r="N228" s="13">
        <v>414.291</v>
      </c>
      <c r="O228" s="13">
        <v>172.533</v>
      </c>
      <c r="P228" s="13">
        <v>998.281</v>
      </c>
      <c r="Q228" s="49">
        <f t="shared" si="20"/>
        <v>6920.749000000001</v>
      </c>
      <c r="R228" s="13">
        <v>6781.319</v>
      </c>
      <c r="S228" s="13">
        <v>108.281</v>
      </c>
      <c r="T228" s="13">
        <v>31.149</v>
      </c>
      <c r="U228" s="49">
        <v>393.175</v>
      </c>
      <c r="V228" s="49">
        <f t="shared" si="21"/>
        <v>8629.323</v>
      </c>
      <c r="W228" s="13">
        <v>5568.986</v>
      </c>
      <c r="X228" s="13">
        <v>41.88</v>
      </c>
      <c r="Y228" s="13">
        <v>3018.457</v>
      </c>
      <c r="Z228" s="49">
        <v>854.121</v>
      </c>
      <c r="AA228" s="49">
        <f t="shared" si="22"/>
        <v>27255.025999999998</v>
      </c>
      <c r="AB228" s="13">
        <v>9889.59</v>
      </c>
      <c r="AC228" s="13">
        <v>2.628</v>
      </c>
      <c r="AD228" s="13">
        <v>7737.873</v>
      </c>
      <c r="AE228" s="13">
        <v>9624.935</v>
      </c>
      <c r="AF228" s="49">
        <v>6273.28</v>
      </c>
      <c r="AG228" s="49">
        <v>0</v>
      </c>
      <c r="AH228" s="49">
        <v>13470.24</v>
      </c>
      <c r="AI228" s="49">
        <v>231.033</v>
      </c>
      <c r="AJ228" s="49">
        <v>5292.098</v>
      </c>
      <c r="AK228" s="49">
        <v>27803.787</v>
      </c>
      <c r="AL228" s="49">
        <v>51.627</v>
      </c>
      <c r="AM228" s="14">
        <f t="shared" si="23"/>
        <v>102504.18499999998</v>
      </c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8"/>
      <c r="ED228" s="18"/>
      <c r="EE228" s="18"/>
      <c r="EF228" s="18"/>
      <c r="EG228" s="18"/>
      <c r="EH228" s="18"/>
      <c r="EI228" s="18"/>
      <c r="EJ228" s="18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</row>
    <row r="229" spans="1:159" s="19" customFormat="1" ht="15">
      <c r="A229" s="22">
        <v>38107</v>
      </c>
      <c r="B229" s="49">
        <f t="shared" si="18"/>
        <v>1782.2649999999999</v>
      </c>
      <c r="C229" s="13">
        <v>1469.31</v>
      </c>
      <c r="D229" s="13">
        <v>79.264</v>
      </c>
      <c r="E229" s="13">
        <v>233.691</v>
      </c>
      <c r="F229" s="49">
        <v>161.195</v>
      </c>
      <c r="G229" s="49">
        <f t="shared" si="19"/>
        <v>3452.209</v>
      </c>
      <c r="H229" s="13">
        <v>527.538</v>
      </c>
      <c r="I229" s="13">
        <f>(700127+3150)/1000</f>
        <v>703.277</v>
      </c>
      <c r="J229" s="13">
        <v>176.049</v>
      </c>
      <c r="K229" s="13">
        <v>61.064</v>
      </c>
      <c r="L229" s="13">
        <v>85.884</v>
      </c>
      <c r="M229" s="13">
        <v>213.239</v>
      </c>
      <c r="N229" s="13">
        <v>400.851</v>
      </c>
      <c r="O229" s="13">
        <v>171.507</v>
      </c>
      <c r="P229" s="13">
        <v>1112.8</v>
      </c>
      <c r="Q229" s="49">
        <f t="shared" si="20"/>
        <v>7266.785</v>
      </c>
      <c r="R229" s="13">
        <v>7125.621</v>
      </c>
      <c r="S229" s="13">
        <v>110.307</v>
      </c>
      <c r="T229" s="13">
        <v>30.857</v>
      </c>
      <c r="U229" s="49">
        <v>435.6</v>
      </c>
      <c r="V229" s="49">
        <f t="shared" si="21"/>
        <v>8497.289</v>
      </c>
      <c r="W229" s="13">
        <v>5508.559</v>
      </c>
      <c r="X229" s="13">
        <v>40.244</v>
      </c>
      <c r="Y229" s="13">
        <v>2948.486</v>
      </c>
      <c r="Z229" s="49">
        <v>924.316</v>
      </c>
      <c r="AA229" s="49">
        <f t="shared" si="22"/>
        <v>26560.987</v>
      </c>
      <c r="AB229" s="13">
        <v>10059.956</v>
      </c>
      <c r="AC229" s="13">
        <v>2.815</v>
      </c>
      <c r="AD229" s="13">
        <v>6801.997</v>
      </c>
      <c r="AE229" s="13">
        <v>9696.219</v>
      </c>
      <c r="AF229" s="49">
        <v>6233.186</v>
      </c>
      <c r="AG229" s="49">
        <v>0</v>
      </c>
      <c r="AH229" s="49">
        <v>13591.852</v>
      </c>
      <c r="AI229" s="49">
        <v>228.326</v>
      </c>
      <c r="AJ229" s="49">
        <v>5321.812</v>
      </c>
      <c r="AK229" s="49">
        <v>28370.278</v>
      </c>
      <c r="AL229" s="49">
        <v>39.806</v>
      </c>
      <c r="AM229" s="14">
        <f t="shared" si="23"/>
        <v>102865.906</v>
      </c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8"/>
      <c r="ED229" s="18"/>
      <c r="EE229" s="18"/>
      <c r="EF229" s="18"/>
      <c r="EG229" s="18"/>
      <c r="EH229" s="18"/>
      <c r="EI229" s="18"/>
      <c r="EJ229" s="18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</row>
    <row r="230" spans="1:159" s="19" customFormat="1" ht="15">
      <c r="A230" s="22">
        <v>38138</v>
      </c>
      <c r="B230" s="49">
        <f t="shared" si="18"/>
        <v>1336.4779999999998</v>
      </c>
      <c r="C230" s="13">
        <v>1027.197</v>
      </c>
      <c r="D230" s="13">
        <v>83.475</v>
      </c>
      <c r="E230" s="13">
        <v>225.806</v>
      </c>
      <c r="F230" s="49">
        <v>159.841</v>
      </c>
      <c r="G230" s="49">
        <f t="shared" si="19"/>
        <v>3114.9039999999995</v>
      </c>
      <c r="H230" s="13">
        <v>254.836</v>
      </c>
      <c r="I230" s="13">
        <f>(706366+3148)/1000</f>
        <v>709.514</v>
      </c>
      <c r="J230" s="13">
        <v>214.259</v>
      </c>
      <c r="K230" s="13">
        <v>68.215</v>
      </c>
      <c r="L230" s="13">
        <v>85.437</v>
      </c>
      <c r="M230" s="13">
        <v>208.031</v>
      </c>
      <c r="N230" s="13">
        <v>361.123</v>
      </c>
      <c r="O230" s="13">
        <v>187.001</v>
      </c>
      <c r="P230" s="13">
        <v>1026.488</v>
      </c>
      <c r="Q230" s="49">
        <f t="shared" si="20"/>
        <v>7381.674</v>
      </c>
      <c r="R230" s="13">
        <v>7229.948</v>
      </c>
      <c r="S230" s="13">
        <v>121.267</v>
      </c>
      <c r="T230" s="13">
        <v>30.459</v>
      </c>
      <c r="U230" s="49">
        <v>496.189</v>
      </c>
      <c r="V230" s="49">
        <f t="shared" si="21"/>
        <v>8179.469000000001</v>
      </c>
      <c r="W230" s="13">
        <v>5557.836</v>
      </c>
      <c r="X230" s="13">
        <v>42.502</v>
      </c>
      <c r="Y230" s="13">
        <v>2579.131</v>
      </c>
      <c r="Z230" s="49">
        <v>753.785</v>
      </c>
      <c r="AA230" s="49">
        <f t="shared" si="22"/>
        <v>29260.036</v>
      </c>
      <c r="AB230" s="13">
        <v>10018.784</v>
      </c>
      <c r="AC230" s="13">
        <v>3.194</v>
      </c>
      <c r="AD230" s="13">
        <v>9621.327</v>
      </c>
      <c r="AE230" s="13">
        <v>9616.731</v>
      </c>
      <c r="AF230" s="49">
        <v>6262.202</v>
      </c>
      <c r="AG230" s="49">
        <v>0</v>
      </c>
      <c r="AH230" s="49">
        <v>13677.51</v>
      </c>
      <c r="AI230" s="49">
        <v>211.618</v>
      </c>
      <c r="AJ230" s="49">
        <v>5617.583</v>
      </c>
      <c r="AK230" s="49">
        <v>29157.108</v>
      </c>
      <c r="AL230" s="49">
        <v>38.802</v>
      </c>
      <c r="AM230" s="14">
        <f t="shared" si="23"/>
        <v>105647.199</v>
      </c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8"/>
      <c r="ED230" s="18"/>
      <c r="EE230" s="18"/>
      <c r="EF230" s="18"/>
      <c r="EG230" s="18"/>
      <c r="EH230" s="18"/>
      <c r="EI230" s="18"/>
      <c r="EJ230" s="18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</row>
    <row r="231" spans="1:159" s="19" customFormat="1" ht="15">
      <c r="A231" s="22">
        <v>38168</v>
      </c>
      <c r="B231" s="49">
        <f t="shared" si="18"/>
        <v>1400.495</v>
      </c>
      <c r="C231" s="13">
        <v>1094.154</v>
      </c>
      <c r="D231" s="13">
        <v>84.173</v>
      </c>
      <c r="E231" s="13">
        <v>222.168</v>
      </c>
      <c r="F231" s="49">
        <v>176.301</v>
      </c>
      <c r="G231" s="49">
        <f t="shared" si="19"/>
        <v>3026.234</v>
      </c>
      <c r="H231" s="13">
        <v>270.804</v>
      </c>
      <c r="I231" s="13">
        <f>(696785+216)/1000</f>
        <v>697.001</v>
      </c>
      <c r="J231" s="13">
        <v>200.453</v>
      </c>
      <c r="K231" s="13">
        <v>57.284</v>
      </c>
      <c r="L231" s="13">
        <v>97.877</v>
      </c>
      <c r="M231" s="13">
        <v>209.275</v>
      </c>
      <c r="N231" s="13">
        <v>287.417</v>
      </c>
      <c r="O231" s="13">
        <v>186.319</v>
      </c>
      <c r="P231" s="13">
        <v>1019.804</v>
      </c>
      <c r="Q231" s="49">
        <f t="shared" si="20"/>
        <v>7458.884000000001</v>
      </c>
      <c r="R231" s="13">
        <v>7289.197</v>
      </c>
      <c r="S231" s="13">
        <v>139.551</v>
      </c>
      <c r="T231" s="13">
        <v>30.136</v>
      </c>
      <c r="U231" s="49">
        <v>488.472</v>
      </c>
      <c r="V231" s="49">
        <f t="shared" si="21"/>
        <v>8125.3189999999995</v>
      </c>
      <c r="W231" s="13">
        <v>5529.693</v>
      </c>
      <c r="X231" s="13">
        <v>39.056</v>
      </c>
      <c r="Y231" s="13">
        <v>2556.57</v>
      </c>
      <c r="Z231" s="49">
        <v>727.25</v>
      </c>
      <c r="AA231" s="49">
        <f t="shared" si="22"/>
        <v>28718.734999999997</v>
      </c>
      <c r="AB231" s="13">
        <v>9563.648</v>
      </c>
      <c r="AC231" s="13">
        <v>5.115</v>
      </c>
      <c r="AD231" s="13">
        <v>10568.81</v>
      </c>
      <c r="AE231" s="13">
        <v>8581.162</v>
      </c>
      <c r="AF231" s="49">
        <v>6428.213</v>
      </c>
      <c r="AG231" s="49">
        <v>0</v>
      </c>
      <c r="AH231" s="49">
        <v>13706.743</v>
      </c>
      <c r="AI231" s="49">
        <v>215.567</v>
      </c>
      <c r="AJ231" s="49">
        <v>5841.944</v>
      </c>
      <c r="AK231" s="49">
        <v>29820.267</v>
      </c>
      <c r="AL231" s="49">
        <v>35.524</v>
      </c>
      <c r="AM231" s="14">
        <f t="shared" si="23"/>
        <v>106169.948</v>
      </c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8"/>
      <c r="ED231" s="18"/>
      <c r="EE231" s="18"/>
      <c r="EF231" s="18"/>
      <c r="EG231" s="18"/>
      <c r="EH231" s="18"/>
      <c r="EI231" s="18"/>
      <c r="EJ231" s="18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</row>
    <row r="232" spans="1:159" s="19" customFormat="1" ht="15">
      <c r="A232" s="22">
        <v>38199</v>
      </c>
      <c r="B232" s="49">
        <f t="shared" si="18"/>
        <v>1354.897</v>
      </c>
      <c r="C232" s="13">
        <v>1059.821</v>
      </c>
      <c r="D232" s="13">
        <v>81.688</v>
      </c>
      <c r="E232" s="13">
        <v>213.388</v>
      </c>
      <c r="F232" s="49">
        <v>185.578</v>
      </c>
      <c r="G232" s="49">
        <f t="shared" si="19"/>
        <v>3256.757</v>
      </c>
      <c r="H232" s="13">
        <v>329.945</v>
      </c>
      <c r="I232" s="13">
        <f>(728061+204)/1000</f>
        <v>728.265</v>
      </c>
      <c r="J232" s="13">
        <v>251.176</v>
      </c>
      <c r="K232" s="13">
        <v>68.503</v>
      </c>
      <c r="L232" s="13">
        <v>91.458</v>
      </c>
      <c r="M232" s="13">
        <v>212.332</v>
      </c>
      <c r="N232" s="13">
        <v>353.188</v>
      </c>
      <c r="O232" s="13">
        <v>175.564</v>
      </c>
      <c r="P232" s="13">
        <v>1046.326</v>
      </c>
      <c r="Q232" s="49">
        <f t="shared" si="20"/>
        <v>7845.682000000001</v>
      </c>
      <c r="R232" s="13">
        <v>7667.345</v>
      </c>
      <c r="S232" s="13">
        <v>146.313</v>
      </c>
      <c r="T232" s="13">
        <v>32.024</v>
      </c>
      <c r="U232" s="49">
        <v>340.858</v>
      </c>
      <c r="V232" s="49">
        <f t="shared" si="21"/>
        <v>8237.392</v>
      </c>
      <c r="W232" s="13">
        <v>5614.033</v>
      </c>
      <c r="X232" s="13">
        <v>40.919</v>
      </c>
      <c r="Y232" s="13">
        <v>2582.44</v>
      </c>
      <c r="Z232" s="49">
        <v>735.463</v>
      </c>
      <c r="AA232" s="49">
        <f t="shared" si="22"/>
        <v>27804.392999999996</v>
      </c>
      <c r="AB232" s="13">
        <v>9512.103</v>
      </c>
      <c r="AC232" s="13">
        <v>5.063</v>
      </c>
      <c r="AD232" s="13">
        <v>9220.524</v>
      </c>
      <c r="AE232" s="13">
        <v>9066.703</v>
      </c>
      <c r="AF232" s="49">
        <v>6644.026</v>
      </c>
      <c r="AG232" s="49">
        <v>0</v>
      </c>
      <c r="AH232" s="49">
        <v>13994.712</v>
      </c>
      <c r="AI232" s="49">
        <v>232.453</v>
      </c>
      <c r="AJ232" s="49">
        <v>5819.85</v>
      </c>
      <c r="AK232" s="49">
        <v>30404.205</v>
      </c>
      <c r="AL232" s="49">
        <v>41.787</v>
      </c>
      <c r="AM232" s="14">
        <f t="shared" si="23"/>
        <v>106898.053</v>
      </c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8"/>
      <c r="ED232" s="18"/>
      <c r="EE232" s="18"/>
      <c r="EF232" s="18"/>
      <c r="EG232" s="18"/>
      <c r="EH232" s="18"/>
      <c r="EI232" s="18"/>
      <c r="EJ232" s="18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</row>
    <row r="233" spans="1:159" s="19" customFormat="1" ht="15">
      <c r="A233" s="22">
        <v>38230</v>
      </c>
      <c r="B233" s="49">
        <f t="shared" si="18"/>
        <v>1339.952</v>
      </c>
      <c r="C233" s="13">
        <v>1025.243</v>
      </c>
      <c r="D233" s="13">
        <v>88.594</v>
      </c>
      <c r="E233" s="13">
        <v>226.115</v>
      </c>
      <c r="F233" s="49">
        <v>187.45</v>
      </c>
      <c r="G233" s="49">
        <f t="shared" si="19"/>
        <v>3111.4770000000003</v>
      </c>
      <c r="H233" s="13">
        <v>250.835</v>
      </c>
      <c r="I233" s="13">
        <f>(700379+192)/1000</f>
        <v>700.571</v>
      </c>
      <c r="J233" s="13">
        <v>240.856</v>
      </c>
      <c r="K233" s="13">
        <v>53.338</v>
      </c>
      <c r="L233" s="13">
        <v>87.892</v>
      </c>
      <c r="M233" s="13">
        <v>213.525</v>
      </c>
      <c r="N233" s="13">
        <v>284.58</v>
      </c>
      <c r="O233" s="13">
        <v>152.085</v>
      </c>
      <c r="P233" s="13">
        <v>1127.795</v>
      </c>
      <c r="Q233" s="49">
        <f t="shared" si="20"/>
        <v>7958.138</v>
      </c>
      <c r="R233" s="13">
        <v>7770.59</v>
      </c>
      <c r="S233" s="13">
        <v>125.383</v>
      </c>
      <c r="T233" s="13">
        <v>62.165</v>
      </c>
      <c r="U233" s="49">
        <v>501.392</v>
      </c>
      <c r="V233" s="49">
        <f t="shared" si="21"/>
        <v>8237.833999999999</v>
      </c>
      <c r="W233" s="13">
        <v>5625.351</v>
      </c>
      <c r="X233" s="13">
        <v>40.359</v>
      </c>
      <c r="Y233" s="13">
        <v>2572.124</v>
      </c>
      <c r="Z233" s="49">
        <v>765.368</v>
      </c>
      <c r="AA233" s="49">
        <f t="shared" si="22"/>
        <v>27351.396999999997</v>
      </c>
      <c r="AB233" s="13">
        <v>9208.111</v>
      </c>
      <c r="AC233" s="13">
        <v>5.505</v>
      </c>
      <c r="AD233" s="13">
        <v>9170.414</v>
      </c>
      <c r="AE233" s="13">
        <v>8967.367</v>
      </c>
      <c r="AF233" s="49">
        <v>6242.27</v>
      </c>
      <c r="AG233" s="49">
        <v>0</v>
      </c>
      <c r="AH233" s="49">
        <v>13823.07</v>
      </c>
      <c r="AI233" s="49">
        <v>217.921</v>
      </c>
      <c r="AJ233" s="49">
        <v>6088.219</v>
      </c>
      <c r="AK233" s="49">
        <v>31365.89</v>
      </c>
      <c r="AL233" s="49">
        <v>39.295</v>
      </c>
      <c r="AM233" s="14">
        <f t="shared" si="23"/>
        <v>107229.673</v>
      </c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8"/>
      <c r="ED233" s="18"/>
      <c r="EE233" s="18"/>
      <c r="EF233" s="18"/>
      <c r="EG233" s="18"/>
      <c r="EH233" s="18"/>
      <c r="EI233" s="18"/>
      <c r="EJ233" s="18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</row>
    <row r="234" spans="1:159" s="19" customFormat="1" ht="15">
      <c r="A234" s="22">
        <v>38260</v>
      </c>
      <c r="B234" s="49">
        <f t="shared" si="18"/>
        <v>1308.149</v>
      </c>
      <c r="C234" s="13">
        <v>1225.838</v>
      </c>
      <c r="D234" s="13">
        <v>81.913</v>
      </c>
      <c r="E234" s="13">
        <v>0.398</v>
      </c>
      <c r="F234" s="49">
        <v>196.781</v>
      </c>
      <c r="G234" s="49">
        <f t="shared" si="19"/>
        <v>3201.714</v>
      </c>
      <c r="H234" s="13">
        <v>246.607</v>
      </c>
      <c r="I234" s="13">
        <f>(712506+180)/1000</f>
        <v>712.686</v>
      </c>
      <c r="J234" s="13">
        <v>239.009</v>
      </c>
      <c r="K234" s="13">
        <v>59.344</v>
      </c>
      <c r="L234" s="13">
        <v>91.54</v>
      </c>
      <c r="M234" s="13">
        <v>206.227</v>
      </c>
      <c r="N234" s="13">
        <v>292.29</v>
      </c>
      <c r="O234" s="13">
        <v>199.926</v>
      </c>
      <c r="P234" s="13">
        <v>1154.085</v>
      </c>
      <c r="Q234" s="49">
        <f t="shared" si="20"/>
        <v>8204.158</v>
      </c>
      <c r="R234" s="13">
        <v>7772.94</v>
      </c>
      <c r="S234" s="13">
        <v>148.359</v>
      </c>
      <c r="T234" s="13">
        <v>282.859</v>
      </c>
      <c r="U234" s="49">
        <v>617.103</v>
      </c>
      <c r="V234" s="49">
        <f t="shared" si="21"/>
        <v>8177.745</v>
      </c>
      <c r="W234" s="13">
        <v>5724.728</v>
      </c>
      <c r="X234" s="13">
        <v>39.208</v>
      </c>
      <c r="Y234" s="13">
        <v>2413.809</v>
      </c>
      <c r="Z234" s="49">
        <v>747.118</v>
      </c>
      <c r="AA234" s="49">
        <f t="shared" si="22"/>
        <v>28301.728</v>
      </c>
      <c r="AB234" s="13">
        <v>8378.21</v>
      </c>
      <c r="AC234" s="13">
        <v>5.421</v>
      </c>
      <c r="AD234" s="13">
        <v>9880.344</v>
      </c>
      <c r="AE234" s="13">
        <v>10037.753</v>
      </c>
      <c r="AF234" s="49">
        <v>6377.383</v>
      </c>
      <c r="AG234" s="49">
        <v>0</v>
      </c>
      <c r="AH234" s="49">
        <v>13817.805</v>
      </c>
      <c r="AI234" s="49">
        <v>341.07</v>
      </c>
      <c r="AJ234" s="49">
        <v>6095.278</v>
      </c>
      <c r="AK234" s="49">
        <v>31566.16</v>
      </c>
      <c r="AL234" s="49">
        <v>36.88</v>
      </c>
      <c r="AM234" s="14">
        <f t="shared" si="23"/>
        <v>108989.07200000003</v>
      </c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8"/>
      <c r="ED234" s="18"/>
      <c r="EE234" s="18"/>
      <c r="EF234" s="18"/>
      <c r="EG234" s="18"/>
      <c r="EH234" s="18"/>
      <c r="EI234" s="18"/>
      <c r="EJ234" s="18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</row>
    <row r="235" spans="1:159" s="19" customFormat="1" ht="15">
      <c r="A235" s="22">
        <v>38291</v>
      </c>
      <c r="B235" s="49">
        <f t="shared" si="18"/>
        <v>1319.203</v>
      </c>
      <c r="C235" s="13">
        <v>1234.671</v>
      </c>
      <c r="D235" s="13">
        <v>84.134</v>
      </c>
      <c r="E235" s="13">
        <v>0.398</v>
      </c>
      <c r="F235" s="49">
        <v>217.05</v>
      </c>
      <c r="G235" s="49">
        <f t="shared" si="19"/>
        <v>3338.7889999999998</v>
      </c>
      <c r="H235" s="13">
        <v>265.203</v>
      </c>
      <c r="I235" s="13">
        <f>(856842+170)/1000</f>
        <v>857.012</v>
      </c>
      <c r="J235" s="13">
        <v>196.335</v>
      </c>
      <c r="K235" s="13">
        <v>62.339</v>
      </c>
      <c r="L235" s="13">
        <v>98.844</v>
      </c>
      <c r="M235" s="13">
        <v>157.459</v>
      </c>
      <c r="N235" s="13">
        <v>313.966</v>
      </c>
      <c r="O235" s="13">
        <v>186.871</v>
      </c>
      <c r="P235" s="13">
        <v>1200.76</v>
      </c>
      <c r="Q235" s="49">
        <f t="shared" si="20"/>
        <v>5649.1179999999995</v>
      </c>
      <c r="R235" s="13">
        <v>5282.258</v>
      </c>
      <c r="S235" s="13">
        <v>113.518</v>
      </c>
      <c r="T235" s="13">
        <v>253.342</v>
      </c>
      <c r="U235" s="49">
        <v>589.353</v>
      </c>
      <c r="V235" s="49">
        <f t="shared" si="21"/>
        <v>8104.589</v>
      </c>
      <c r="W235" s="13">
        <v>5642.406</v>
      </c>
      <c r="X235" s="13">
        <v>37.724</v>
      </c>
      <c r="Y235" s="13">
        <v>2424.459</v>
      </c>
      <c r="Z235" s="49">
        <v>737.062</v>
      </c>
      <c r="AA235" s="49">
        <f t="shared" si="22"/>
        <v>31245.458</v>
      </c>
      <c r="AB235" s="13">
        <v>11741.226</v>
      </c>
      <c r="AC235" s="13">
        <v>2.61</v>
      </c>
      <c r="AD235" s="13">
        <v>9138.899</v>
      </c>
      <c r="AE235" s="13">
        <v>10362.723</v>
      </c>
      <c r="AF235" s="49">
        <v>5683.873</v>
      </c>
      <c r="AG235" s="49">
        <v>0</v>
      </c>
      <c r="AH235" s="49">
        <v>13857.505</v>
      </c>
      <c r="AI235" s="49">
        <v>349.338</v>
      </c>
      <c r="AJ235" s="49">
        <v>5997.345</v>
      </c>
      <c r="AK235" s="49">
        <v>31958.107</v>
      </c>
      <c r="AL235" s="49">
        <v>39.277</v>
      </c>
      <c r="AM235" s="14">
        <f t="shared" si="23"/>
        <v>109086.06700000001</v>
      </c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8"/>
      <c r="ED235" s="18"/>
      <c r="EE235" s="18"/>
      <c r="EF235" s="18"/>
      <c r="EG235" s="18"/>
      <c r="EH235" s="18"/>
      <c r="EI235" s="18"/>
      <c r="EJ235" s="18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</row>
    <row r="236" spans="1:159" s="19" customFormat="1" ht="15">
      <c r="A236" s="22">
        <v>38321</v>
      </c>
      <c r="B236" s="49">
        <f t="shared" si="18"/>
        <v>1495.95</v>
      </c>
      <c r="C236" s="13">
        <v>1407.845</v>
      </c>
      <c r="D236" s="13">
        <v>87.707</v>
      </c>
      <c r="E236" s="13">
        <v>0.398</v>
      </c>
      <c r="F236" s="49">
        <v>204.901</v>
      </c>
      <c r="G236" s="49">
        <f t="shared" si="19"/>
        <v>5009.706</v>
      </c>
      <c r="H236" s="13">
        <v>263.998</v>
      </c>
      <c r="I236" s="13">
        <f>(2625267+2155)/1000</f>
        <v>2627.422</v>
      </c>
      <c r="J236" s="13">
        <v>196.988</v>
      </c>
      <c r="K236" s="13">
        <v>65.353</v>
      </c>
      <c r="L236" s="13">
        <v>97.079</v>
      </c>
      <c r="M236" s="13">
        <v>149.485</v>
      </c>
      <c r="N236" s="13">
        <v>302.368</v>
      </c>
      <c r="O236" s="13">
        <v>193.085</v>
      </c>
      <c r="P236" s="13">
        <v>1113.928</v>
      </c>
      <c r="Q236" s="49">
        <f t="shared" si="20"/>
        <v>5677.727000000001</v>
      </c>
      <c r="R236" s="13">
        <v>5320.618</v>
      </c>
      <c r="S236" s="13">
        <v>131.694</v>
      </c>
      <c r="T236" s="13">
        <v>225.415</v>
      </c>
      <c r="U236" s="49">
        <v>738.429</v>
      </c>
      <c r="V236" s="49">
        <f t="shared" si="21"/>
        <v>8764.221</v>
      </c>
      <c r="W236" s="13">
        <v>6310.016</v>
      </c>
      <c r="X236" s="13">
        <v>45.168</v>
      </c>
      <c r="Y236" s="13">
        <v>2409.037</v>
      </c>
      <c r="Z236" s="49">
        <v>737.884</v>
      </c>
      <c r="AA236" s="49">
        <f t="shared" si="22"/>
        <v>31719.913</v>
      </c>
      <c r="AB236" s="13">
        <v>11667.161</v>
      </c>
      <c r="AC236" s="13">
        <v>2.565</v>
      </c>
      <c r="AD236" s="13">
        <v>8901.039</v>
      </c>
      <c r="AE236" s="13">
        <v>11149.148</v>
      </c>
      <c r="AF236" s="49">
        <v>5853.26</v>
      </c>
      <c r="AG236" s="49">
        <v>0</v>
      </c>
      <c r="AH236" s="49">
        <v>13950.688</v>
      </c>
      <c r="AI236" s="49">
        <v>347.042</v>
      </c>
      <c r="AJ236" s="49">
        <v>6106.538</v>
      </c>
      <c r="AK236" s="49">
        <v>32989.734</v>
      </c>
      <c r="AL236" s="49">
        <v>36.417</v>
      </c>
      <c r="AM236" s="14">
        <f t="shared" si="23"/>
        <v>113632.41</v>
      </c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8"/>
      <c r="ED236" s="18"/>
      <c r="EE236" s="18"/>
      <c r="EF236" s="18"/>
      <c r="EG236" s="18"/>
      <c r="EH236" s="18"/>
      <c r="EI236" s="18"/>
      <c r="EJ236" s="18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</row>
    <row r="237" spans="1:159" s="19" customFormat="1" ht="15">
      <c r="A237" s="22">
        <v>38352</v>
      </c>
      <c r="B237" s="49">
        <f t="shared" si="18"/>
        <v>1227.491</v>
      </c>
      <c r="C237" s="13">
        <v>1133.815</v>
      </c>
      <c r="D237" s="13">
        <v>93.216</v>
      </c>
      <c r="E237" s="13">
        <v>0.46</v>
      </c>
      <c r="F237" s="49">
        <v>223.421</v>
      </c>
      <c r="G237" s="49">
        <f t="shared" si="19"/>
        <v>3746.443</v>
      </c>
      <c r="H237" s="13">
        <v>254.503</v>
      </c>
      <c r="I237" s="13">
        <f>(1311243+2144)/1000</f>
        <v>1313.387</v>
      </c>
      <c r="J237" s="13">
        <v>192.769</v>
      </c>
      <c r="K237" s="13">
        <v>67.493</v>
      </c>
      <c r="L237" s="13">
        <v>99.672</v>
      </c>
      <c r="M237" s="13">
        <v>158.909</v>
      </c>
      <c r="N237" s="13">
        <v>278.492</v>
      </c>
      <c r="O237" s="13">
        <v>195.86</v>
      </c>
      <c r="P237" s="13">
        <v>1185.358</v>
      </c>
      <c r="Q237" s="49">
        <f t="shared" si="20"/>
        <v>5875.725</v>
      </c>
      <c r="R237" s="13">
        <v>5525.451</v>
      </c>
      <c r="S237" s="13">
        <v>127.764</v>
      </c>
      <c r="T237" s="13">
        <v>222.51</v>
      </c>
      <c r="U237" s="49">
        <v>644.492</v>
      </c>
      <c r="V237" s="49">
        <f t="shared" si="21"/>
        <v>8727.487000000001</v>
      </c>
      <c r="W237" s="13">
        <v>6366.861</v>
      </c>
      <c r="X237" s="13">
        <v>38.023</v>
      </c>
      <c r="Y237" s="13">
        <v>2322.603</v>
      </c>
      <c r="Z237" s="49">
        <v>769.583</v>
      </c>
      <c r="AA237" s="49">
        <f t="shared" si="22"/>
        <v>29810.530000000002</v>
      </c>
      <c r="AB237" s="13">
        <v>10045.553</v>
      </c>
      <c r="AC237" s="13">
        <v>3.745</v>
      </c>
      <c r="AD237" s="13">
        <v>9599.409</v>
      </c>
      <c r="AE237" s="13">
        <v>10161.823</v>
      </c>
      <c r="AF237" s="49">
        <v>6753.807</v>
      </c>
      <c r="AG237" s="49">
        <v>0</v>
      </c>
      <c r="AH237" s="49">
        <v>15741.817</v>
      </c>
      <c r="AI237" s="49">
        <v>241.094</v>
      </c>
      <c r="AJ237" s="49">
        <v>6194.863</v>
      </c>
      <c r="AK237" s="49">
        <v>33380.142</v>
      </c>
      <c r="AL237" s="49">
        <v>31.928</v>
      </c>
      <c r="AM237" s="14">
        <f t="shared" si="23"/>
        <v>113368.82299999999</v>
      </c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8"/>
      <c r="ED237" s="18"/>
      <c r="EE237" s="18"/>
      <c r="EF237" s="18"/>
      <c r="EG237" s="18"/>
      <c r="EH237" s="18"/>
      <c r="EI237" s="18"/>
      <c r="EJ237" s="18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</row>
    <row r="238" spans="1:159" s="19" customFormat="1" ht="15">
      <c r="A238" s="22">
        <v>38383</v>
      </c>
      <c r="B238" s="49">
        <f t="shared" si="18"/>
        <v>1487.1759999999997</v>
      </c>
      <c r="C238" s="13">
        <v>1331.966</v>
      </c>
      <c r="D238" s="13">
        <v>154.812</v>
      </c>
      <c r="E238" s="13">
        <v>0.398</v>
      </c>
      <c r="F238" s="49">
        <v>229.19</v>
      </c>
      <c r="G238" s="49">
        <f t="shared" si="19"/>
        <v>3714.867</v>
      </c>
      <c r="H238" s="13">
        <v>223.776</v>
      </c>
      <c r="I238" s="13">
        <f>(1475655+1134)/1000</f>
        <v>1476.789</v>
      </c>
      <c r="J238" s="13">
        <v>191.424</v>
      </c>
      <c r="K238" s="13">
        <v>58.687</v>
      </c>
      <c r="L238" s="13">
        <v>94.808</v>
      </c>
      <c r="M238" s="13">
        <v>171.097</v>
      </c>
      <c r="N238" s="13">
        <v>270.933</v>
      </c>
      <c r="O238" s="13">
        <v>137.755</v>
      </c>
      <c r="P238" s="13">
        <v>1089.598</v>
      </c>
      <c r="Q238" s="49">
        <f t="shared" si="20"/>
        <v>5927.285</v>
      </c>
      <c r="R238" s="13">
        <v>5574.142</v>
      </c>
      <c r="S238" s="13">
        <v>131.891</v>
      </c>
      <c r="T238" s="13">
        <v>221.252</v>
      </c>
      <c r="U238" s="49">
        <v>643.246</v>
      </c>
      <c r="V238" s="49">
        <f t="shared" si="21"/>
        <v>10868.614000000001</v>
      </c>
      <c r="W238" s="13">
        <v>7308.712</v>
      </c>
      <c r="X238" s="13">
        <v>39.55</v>
      </c>
      <c r="Y238" s="13">
        <v>3520.352</v>
      </c>
      <c r="Z238" s="49">
        <v>739.361</v>
      </c>
      <c r="AA238" s="49">
        <f t="shared" si="22"/>
        <v>30803.555</v>
      </c>
      <c r="AB238" s="13">
        <v>10055.344</v>
      </c>
      <c r="AC238" s="13">
        <v>2.529</v>
      </c>
      <c r="AD238" s="13">
        <v>10449.281</v>
      </c>
      <c r="AE238" s="13">
        <v>10296.401</v>
      </c>
      <c r="AF238" s="49">
        <v>6292.384</v>
      </c>
      <c r="AG238" s="49">
        <v>0</v>
      </c>
      <c r="AH238" s="49">
        <v>15732.646</v>
      </c>
      <c r="AI238" s="49">
        <v>231.568</v>
      </c>
      <c r="AJ238" s="49">
        <v>6059.92</v>
      </c>
      <c r="AK238" s="49">
        <v>33607.804</v>
      </c>
      <c r="AL238" s="49">
        <v>29.177</v>
      </c>
      <c r="AM238" s="14">
        <f t="shared" si="23"/>
        <v>116366.79299999998</v>
      </c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8"/>
      <c r="ED238" s="18"/>
      <c r="EE238" s="18"/>
      <c r="EF238" s="18"/>
      <c r="EG238" s="18"/>
      <c r="EH238" s="18"/>
      <c r="EI238" s="18"/>
      <c r="EJ238" s="18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</row>
    <row r="239" spans="1:159" s="19" customFormat="1" ht="15">
      <c r="A239" s="22">
        <v>38411</v>
      </c>
      <c r="B239" s="49">
        <f t="shared" si="18"/>
        <v>1414.805</v>
      </c>
      <c r="C239" s="13">
        <v>1324.391</v>
      </c>
      <c r="D239" s="13">
        <v>89.954</v>
      </c>
      <c r="E239" s="13">
        <v>0.46</v>
      </c>
      <c r="F239" s="49">
        <v>233.266</v>
      </c>
      <c r="G239" s="49">
        <f t="shared" si="19"/>
        <v>4114.232</v>
      </c>
      <c r="H239" s="13">
        <v>338.04</v>
      </c>
      <c r="I239" s="13">
        <f>(1492642+1113)/1000</f>
        <v>1493.755</v>
      </c>
      <c r="J239" s="13">
        <v>184.693</v>
      </c>
      <c r="K239" s="13">
        <v>80.446</v>
      </c>
      <c r="L239" s="13">
        <v>93.473</v>
      </c>
      <c r="M239" s="13">
        <v>182.853</v>
      </c>
      <c r="N239" s="13">
        <v>515.878</v>
      </c>
      <c r="O239" s="13">
        <v>169.101</v>
      </c>
      <c r="P239" s="13">
        <v>1055.993</v>
      </c>
      <c r="Q239" s="49">
        <f t="shared" si="20"/>
        <v>6016.54</v>
      </c>
      <c r="R239" s="13">
        <v>5659.515</v>
      </c>
      <c r="S239" s="13">
        <v>126.449</v>
      </c>
      <c r="T239" s="13">
        <v>230.576</v>
      </c>
      <c r="U239" s="49">
        <v>686.036</v>
      </c>
      <c r="V239" s="49">
        <f t="shared" si="21"/>
        <v>10936.949</v>
      </c>
      <c r="W239" s="13">
        <v>7367.103</v>
      </c>
      <c r="X239" s="13">
        <v>46.429</v>
      </c>
      <c r="Y239" s="13">
        <v>3523.417</v>
      </c>
      <c r="Z239" s="49">
        <v>704.881</v>
      </c>
      <c r="AA239" s="49">
        <f t="shared" si="22"/>
        <v>30202.14</v>
      </c>
      <c r="AB239" s="13">
        <v>9973.687</v>
      </c>
      <c r="AC239" s="13">
        <v>2.431</v>
      </c>
      <c r="AD239" s="13">
        <v>9974.417</v>
      </c>
      <c r="AE239" s="13">
        <v>10251.605</v>
      </c>
      <c r="AF239" s="49">
        <v>6794.047</v>
      </c>
      <c r="AG239" s="49">
        <v>0</v>
      </c>
      <c r="AH239" s="49">
        <v>15549.745</v>
      </c>
      <c r="AI239" s="49">
        <v>248.881</v>
      </c>
      <c r="AJ239" s="49">
        <v>6246.855</v>
      </c>
      <c r="AK239" s="49">
        <v>33267.329</v>
      </c>
      <c r="AL239" s="49">
        <v>28.376</v>
      </c>
      <c r="AM239" s="14">
        <f t="shared" si="23"/>
        <v>116444.082</v>
      </c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8"/>
      <c r="ED239" s="18"/>
      <c r="EE239" s="18"/>
      <c r="EF239" s="18"/>
      <c r="EG239" s="18"/>
      <c r="EH239" s="18"/>
      <c r="EI239" s="18"/>
      <c r="EJ239" s="18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</row>
    <row r="240" spans="1:159" s="19" customFormat="1" ht="15">
      <c r="A240" s="22">
        <v>38442</v>
      </c>
      <c r="B240" s="49">
        <f t="shared" si="18"/>
        <v>1408.554</v>
      </c>
      <c r="C240" s="13">
        <v>1319.32</v>
      </c>
      <c r="D240" s="13">
        <v>88.775</v>
      </c>
      <c r="E240" s="13">
        <v>0.459</v>
      </c>
      <c r="F240" s="49">
        <v>205.174</v>
      </c>
      <c r="G240" s="49">
        <f t="shared" si="19"/>
        <v>4334.811</v>
      </c>
      <c r="H240" s="13">
        <v>363.665</v>
      </c>
      <c r="I240" s="13">
        <f>(1561473+1092)/1000</f>
        <v>1562.565</v>
      </c>
      <c r="J240" s="13">
        <v>175.657</v>
      </c>
      <c r="K240" s="13">
        <v>75.966</v>
      </c>
      <c r="L240" s="13">
        <v>81.229</v>
      </c>
      <c r="M240" s="13">
        <v>182.544</v>
      </c>
      <c r="N240" s="13">
        <v>549.245</v>
      </c>
      <c r="O240" s="13">
        <v>169.207</v>
      </c>
      <c r="P240" s="13">
        <v>1174.733</v>
      </c>
      <c r="Q240" s="49">
        <f t="shared" si="20"/>
        <v>6300.611</v>
      </c>
      <c r="R240" s="13">
        <v>5911.553</v>
      </c>
      <c r="S240" s="13">
        <v>150.256</v>
      </c>
      <c r="T240" s="13">
        <v>238.802</v>
      </c>
      <c r="U240" s="49">
        <v>642.623</v>
      </c>
      <c r="V240" s="49">
        <f t="shared" si="21"/>
        <v>11180.216</v>
      </c>
      <c r="W240" s="13">
        <v>7296.709</v>
      </c>
      <c r="X240" s="13">
        <v>48.009</v>
      </c>
      <c r="Y240" s="13">
        <v>3835.498</v>
      </c>
      <c r="Z240" s="49">
        <v>720.746</v>
      </c>
      <c r="AA240" s="49">
        <f t="shared" si="22"/>
        <v>29896.443</v>
      </c>
      <c r="AB240" s="13">
        <v>9840.809</v>
      </c>
      <c r="AC240" s="13">
        <v>3.009</v>
      </c>
      <c r="AD240" s="13">
        <v>9811.679</v>
      </c>
      <c r="AE240" s="13">
        <v>10240.946</v>
      </c>
      <c r="AF240" s="49">
        <v>7030.669</v>
      </c>
      <c r="AG240" s="49">
        <v>0</v>
      </c>
      <c r="AH240" s="49">
        <v>15282.204</v>
      </c>
      <c r="AI240" s="49">
        <v>251.077</v>
      </c>
      <c r="AJ240" s="49">
        <v>7059.702</v>
      </c>
      <c r="AK240" s="49">
        <v>34095.124</v>
      </c>
      <c r="AL240" s="49">
        <v>32.37</v>
      </c>
      <c r="AM240" s="14">
        <f t="shared" si="23"/>
        <v>118440.32400000002</v>
      </c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8"/>
      <c r="ED240" s="18"/>
      <c r="EE240" s="18"/>
      <c r="EF240" s="18"/>
      <c r="EG240" s="18"/>
      <c r="EH240" s="18"/>
      <c r="EI240" s="18"/>
      <c r="EJ240" s="18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</row>
    <row r="241" spans="1:159" s="19" customFormat="1" ht="15">
      <c r="A241" s="22">
        <v>38472</v>
      </c>
      <c r="B241" s="49">
        <f t="shared" si="18"/>
        <v>1522.972</v>
      </c>
      <c r="C241" s="13">
        <v>1335.082</v>
      </c>
      <c r="D241" s="13">
        <v>88.945</v>
      </c>
      <c r="E241" s="13">
        <v>98.945</v>
      </c>
      <c r="F241" s="49">
        <v>206.278</v>
      </c>
      <c r="G241" s="49">
        <f t="shared" si="19"/>
        <v>4386.021000000001</v>
      </c>
      <c r="H241" s="13">
        <v>360.181</v>
      </c>
      <c r="I241" s="13">
        <f>(1680816+1405)/1000</f>
        <v>1682.221</v>
      </c>
      <c r="J241" s="13">
        <v>174.07</v>
      </c>
      <c r="K241" s="13">
        <v>73.251</v>
      </c>
      <c r="L241" s="13">
        <v>84.003</v>
      </c>
      <c r="M241" s="13">
        <v>167.918</v>
      </c>
      <c r="N241" s="13">
        <v>562.651</v>
      </c>
      <c r="O241" s="13">
        <v>151.154</v>
      </c>
      <c r="P241" s="13">
        <v>1130.572</v>
      </c>
      <c r="Q241" s="49">
        <f t="shared" si="20"/>
        <v>6223.877</v>
      </c>
      <c r="R241" s="13">
        <v>5876.747</v>
      </c>
      <c r="S241" s="13">
        <v>112.688</v>
      </c>
      <c r="T241" s="13">
        <v>234.442</v>
      </c>
      <c r="U241" s="49">
        <v>665.735</v>
      </c>
      <c r="V241" s="49">
        <f t="shared" si="21"/>
        <v>11263.471</v>
      </c>
      <c r="W241" s="13">
        <v>7393.021</v>
      </c>
      <c r="X241" s="13">
        <v>44.112</v>
      </c>
      <c r="Y241" s="13">
        <v>3826.338</v>
      </c>
      <c r="Z241" s="49">
        <v>710.909</v>
      </c>
      <c r="AA241" s="49">
        <f t="shared" si="22"/>
        <v>28872.152000000002</v>
      </c>
      <c r="AB241" s="13">
        <v>9565.214</v>
      </c>
      <c r="AC241" s="13">
        <v>2.327</v>
      </c>
      <c r="AD241" s="13">
        <v>9237.046</v>
      </c>
      <c r="AE241" s="13">
        <v>10067.565</v>
      </c>
      <c r="AF241" s="49">
        <v>7307.488</v>
      </c>
      <c r="AG241" s="49">
        <v>0</v>
      </c>
      <c r="AH241" s="49">
        <v>15568.468</v>
      </c>
      <c r="AI241" s="49">
        <v>252.282</v>
      </c>
      <c r="AJ241" s="49">
        <v>7032.963</v>
      </c>
      <c r="AK241" s="49">
        <v>34366.346</v>
      </c>
      <c r="AL241" s="49">
        <v>26.986</v>
      </c>
      <c r="AM241" s="14">
        <f t="shared" si="23"/>
        <v>118405.948</v>
      </c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8"/>
      <c r="ED241" s="18"/>
      <c r="EE241" s="18"/>
      <c r="EF241" s="18"/>
      <c r="EG241" s="18"/>
      <c r="EH241" s="18"/>
      <c r="EI241" s="18"/>
      <c r="EJ241" s="18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</row>
    <row r="242" spans="1:159" s="19" customFormat="1" ht="15">
      <c r="A242" s="22">
        <v>38503</v>
      </c>
      <c r="B242" s="49">
        <f t="shared" si="18"/>
        <v>1546.9360000000001</v>
      </c>
      <c r="C242" s="13">
        <v>1358.813</v>
      </c>
      <c r="D242" s="13">
        <v>85.922</v>
      </c>
      <c r="E242" s="13">
        <v>102.201</v>
      </c>
      <c r="F242" s="49">
        <v>221.652</v>
      </c>
      <c r="G242" s="49">
        <f t="shared" si="19"/>
        <v>4318.07</v>
      </c>
      <c r="H242" s="13">
        <v>368.281</v>
      </c>
      <c r="I242" s="13">
        <v>1610.575</v>
      </c>
      <c r="J242" s="13">
        <v>176.907</v>
      </c>
      <c r="K242" s="13">
        <v>74.975</v>
      </c>
      <c r="L242" s="13">
        <v>241.427</v>
      </c>
      <c r="M242" s="13">
        <v>179.969</v>
      </c>
      <c r="N242" s="13">
        <v>350.794</v>
      </c>
      <c r="O242" s="13">
        <v>138.07</v>
      </c>
      <c r="P242" s="13">
        <v>1177.072</v>
      </c>
      <c r="Q242" s="49">
        <f t="shared" si="20"/>
        <v>6382.871</v>
      </c>
      <c r="R242" s="13">
        <v>6054.89</v>
      </c>
      <c r="S242" s="13">
        <v>100.657</v>
      </c>
      <c r="T242" s="13">
        <v>227.324</v>
      </c>
      <c r="U242" s="49">
        <v>636.939</v>
      </c>
      <c r="V242" s="49">
        <f t="shared" si="21"/>
        <v>11887.84</v>
      </c>
      <c r="W242" s="13">
        <v>8023.17</v>
      </c>
      <c r="X242" s="13">
        <v>36.279</v>
      </c>
      <c r="Y242" s="13">
        <v>3828.391</v>
      </c>
      <c r="Z242" s="49">
        <v>705.834</v>
      </c>
      <c r="AA242" s="49">
        <f t="shared" si="22"/>
        <v>29559.494</v>
      </c>
      <c r="AB242" s="13">
        <v>9572.717</v>
      </c>
      <c r="AC242" s="13">
        <v>2.265</v>
      </c>
      <c r="AD242" s="13">
        <v>10176.391</v>
      </c>
      <c r="AE242" s="13">
        <v>9808.121</v>
      </c>
      <c r="AF242" s="49">
        <v>7624.945</v>
      </c>
      <c r="AG242" s="49">
        <v>0</v>
      </c>
      <c r="AH242" s="49">
        <v>15799.238</v>
      </c>
      <c r="AI242" s="49">
        <v>264.959</v>
      </c>
      <c r="AJ242" s="49">
        <v>6612.734</v>
      </c>
      <c r="AK242" s="49">
        <v>34736.495</v>
      </c>
      <c r="AL242" s="49">
        <v>31.721</v>
      </c>
      <c r="AM242" s="14">
        <f t="shared" si="23"/>
        <v>120329.72800000002</v>
      </c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8"/>
      <c r="ED242" s="18"/>
      <c r="EE242" s="18"/>
      <c r="EF242" s="18"/>
      <c r="EG242" s="18"/>
      <c r="EH242" s="18"/>
      <c r="EI242" s="18"/>
      <c r="EJ242" s="18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</row>
    <row r="243" spans="1:159" s="19" customFormat="1" ht="15">
      <c r="A243" s="22">
        <v>38533</v>
      </c>
      <c r="B243" s="49">
        <f t="shared" si="18"/>
        <v>1546.9899999999998</v>
      </c>
      <c r="C243" s="13">
        <v>1357.522</v>
      </c>
      <c r="D243" s="13">
        <v>87.378</v>
      </c>
      <c r="E243" s="13">
        <v>102.09</v>
      </c>
      <c r="F243" s="49">
        <v>237.985</v>
      </c>
      <c r="G243" s="49">
        <f t="shared" si="19"/>
        <v>4748.415999999999</v>
      </c>
      <c r="H243" s="13">
        <v>384.25</v>
      </c>
      <c r="I243" s="13">
        <v>1875.161</v>
      </c>
      <c r="J243" s="13">
        <v>178.725</v>
      </c>
      <c r="K243" s="13">
        <v>81.184</v>
      </c>
      <c r="L243" s="13">
        <v>97.87</v>
      </c>
      <c r="M243" s="13">
        <v>159.738</v>
      </c>
      <c r="N243" s="13">
        <v>589.629</v>
      </c>
      <c r="O243" s="13">
        <v>144.997</v>
      </c>
      <c r="P243" s="13">
        <v>1236.862</v>
      </c>
      <c r="Q243" s="49">
        <f t="shared" si="20"/>
        <v>6432.46</v>
      </c>
      <c r="R243" s="13">
        <v>6144.141</v>
      </c>
      <c r="S243" s="13">
        <v>79.125</v>
      </c>
      <c r="T243" s="13">
        <v>209.194</v>
      </c>
      <c r="U243" s="49">
        <v>795.913</v>
      </c>
      <c r="V243" s="49">
        <f t="shared" si="21"/>
        <v>7582.344</v>
      </c>
      <c r="W243" s="13">
        <v>3710.106</v>
      </c>
      <c r="X243" s="13">
        <v>42.2</v>
      </c>
      <c r="Y243" s="13">
        <v>3830.038</v>
      </c>
      <c r="Z243" s="49">
        <v>706.964</v>
      </c>
      <c r="AA243" s="49">
        <f t="shared" si="22"/>
        <v>36683.734</v>
      </c>
      <c r="AB243" s="13">
        <v>9574.35</v>
      </c>
      <c r="AC243" s="13">
        <v>2.222</v>
      </c>
      <c r="AD243" s="13">
        <v>11700.414</v>
      </c>
      <c r="AE243" s="13">
        <v>15406.748</v>
      </c>
      <c r="AF243" s="49">
        <v>7855.423</v>
      </c>
      <c r="AG243" s="49">
        <v>0</v>
      </c>
      <c r="AH243" s="49">
        <v>16346.068</v>
      </c>
      <c r="AI243" s="49">
        <v>259.114</v>
      </c>
      <c r="AJ243" s="49">
        <v>6810.595</v>
      </c>
      <c r="AK243" s="49">
        <v>35481.397</v>
      </c>
      <c r="AL243" s="49">
        <v>25.866</v>
      </c>
      <c r="AM243" s="14">
        <f t="shared" si="23"/>
        <v>125513.26899999999</v>
      </c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8"/>
      <c r="ED243" s="18"/>
      <c r="EE243" s="18"/>
      <c r="EF243" s="18"/>
      <c r="EG243" s="18"/>
      <c r="EH243" s="18"/>
      <c r="EI243" s="18"/>
      <c r="EJ243" s="18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</row>
    <row r="244" spans="1:159" s="19" customFormat="1" ht="15">
      <c r="A244" s="22">
        <v>38564</v>
      </c>
      <c r="B244" s="49">
        <f t="shared" si="18"/>
        <v>2095.781</v>
      </c>
      <c r="C244" s="13">
        <v>1899.671</v>
      </c>
      <c r="D244" s="13">
        <v>93.262</v>
      </c>
      <c r="E244" s="13">
        <v>102.848</v>
      </c>
      <c r="F244" s="49">
        <v>230.408</v>
      </c>
      <c r="G244" s="49">
        <f t="shared" si="19"/>
        <v>4702.327</v>
      </c>
      <c r="H244" s="13">
        <v>368.712</v>
      </c>
      <c r="I244" s="13">
        <v>1827.475</v>
      </c>
      <c r="J244" s="13">
        <v>181.614</v>
      </c>
      <c r="K244" s="13">
        <v>78.947</v>
      </c>
      <c r="L244" s="13">
        <v>95.339</v>
      </c>
      <c r="M244" s="13">
        <v>189.522</v>
      </c>
      <c r="N244" s="13">
        <v>623.597</v>
      </c>
      <c r="O244" s="13">
        <v>134.621</v>
      </c>
      <c r="P244" s="13">
        <v>1202.5</v>
      </c>
      <c r="Q244" s="49">
        <f t="shared" si="20"/>
        <v>5116.272</v>
      </c>
      <c r="R244" s="13">
        <v>4795.966</v>
      </c>
      <c r="S244" s="13">
        <v>98.494</v>
      </c>
      <c r="T244" s="13">
        <v>221.812</v>
      </c>
      <c r="U244" s="49">
        <v>717.289</v>
      </c>
      <c r="V244" s="49">
        <f t="shared" si="21"/>
        <v>7654.749</v>
      </c>
      <c r="W244" s="13">
        <v>3767.15</v>
      </c>
      <c r="X244" s="13">
        <v>46.686</v>
      </c>
      <c r="Y244" s="13">
        <v>3840.913</v>
      </c>
      <c r="Z244" s="49">
        <v>812.068</v>
      </c>
      <c r="AA244" s="49">
        <f t="shared" si="22"/>
        <v>34616.432</v>
      </c>
      <c r="AB244" s="13">
        <v>8830.474</v>
      </c>
      <c r="AC244" s="13">
        <v>2.213</v>
      </c>
      <c r="AD244" s="13">
        <v>10923.492</v>
      </c>
      <c r="AE244" s="13">
        <v>14860.253</v>
      </c>
      <c r="AF244" s="49">
        <v>7882.279</v>
      </c>
      <c r="AG244" s="49">
        <v>0</v>
      </c>
      <c r="AH244" s="49">
        <v>17609.763</v>
      </c>
      <c r="AI244" s="49">
        <v>272.922</v>
      </c>
      <c r="AJ244" s="49">
        <v>6361.146</v>
      </c>
      <c r="AK244" s="49">
        <v>36125.549</v>
      </c>
      <c r="AL244" s="49">
        <v>25.075</v>
      </c>
      <c r="AM244" s="14">
        <f t="shared" si="23"/>
        <v>124222.06</v>
      </c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8"/>
      <c r="ED244" s="18"/>
      <c r="EE244" s="18"/>
      <c r="EF244" s="18"/>
      <c r="EG244" s="18"/>
      <c r="EH244" s="18"/>
      <c r="EI244" s="18"/>
      <c r="EJ244" s="18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</row>
    <row r="245" spans="1:159" s="19" customFormat="1" ht="15">
      <c r="A245" s="22">
        <v>38595</v>
      </c>
      <c r="B245" s="49">
        <f t="shared" si="18"/>
        <v>2137.712</v>
      </c>
      <c r="C245" s="13">
        <v>1927.713</v>
      </c>
      <c r="D245" s="13">
        <v>107.281</v>
      </c>
      <c r="E245" s="13">
        <v>102.718</v>
      </c>
      <c r="F245" s="49">
        <v>255.603</v>
      </c>
      <c r="G245" s="49">
        <f t="shared" si="19"/>
        <v>4642.238</v>
      </c>
      <c r="H245" s="13">
        <v>367.371</v>
      </c>
      <c r="I245" s="13">
        <v>1757.598</v>
      </c>
      <c r="J245" s="13">
        <v>197.809</v>
      </c>
      <c r="K245" s="13">
        <v>102.927</v>
      </c>
      <c r="L245" s="13">
        <v>85.614</v>
      </c>
      <c r="M245" s="13">
        <v>231.586</v>
      </c>
      <c r="N245" s="13">
        <v>566.841</v>
      </c>
      <c r="O245" s="13">
        <v>127.192</v>
      </c>
      <c r="P245" s="13">
        <v>1205.3</v>
      </c>
      <c r="Q245" s="49">
        <f t="shared" si="20"/>
        <v>5142.6089999999995</v>
      </c>
      <c r="R245" s="13">
        <v>4811.338</v>
      </c>
      <c r="S245" s="13">
        <v>102.922</v>
      </c>
      <c r="T245" s="13">
        <v>228.349</v>
      </c>
      <c r="U245" s="49">
        <v>765.028</v>
      </c>
      <c r="V245" s="49">
        <f t="shared" si="21"/>
        <v>4929.546</v>
      </c>
      <c r="W245" s="13">
        <v>1057.993</v>
      </c>
      <c r="X245" s="13">
        <v>32.643</v>
      </c>
      <c r="Y245" s="13">
        <v>3838.91</v>
      </c>
      <c r="Z245" s="49">
        <v>710.697</v>
      </c>
      <c r="AA245" s="49">
        <f t="shared" si="22"/>
        <v>30690.677</v>
      </c>
      <c r="AB245" s="13">
        <v>8773.942</v>
      </c>
      <c r="AC245" s="13">
        <v>3.358</v>
      </c>
      <c r="AD245" s="13">
        <v>11246.338</v>
      </c>
      <c r="AE245" s="13">
        <v>10667.039</v>
      </c>
      <c r="AF245" s="49">
        <v>8198.458</v>
      </c>
      <c r="AG245" s="49">
        <v>0</v>
      </c>
      <c r="AH245" s="49">
        <v>17847.525</v>
      </c>
      <c r="AI245" s="49">
        <v>260.604</v>
      </c>
      <c r="AJ245" s="49">
        <v>7205.254</v>
      </c>
      <c r="AK245" s="49">
        <v>37590.318</v>
      </c>
      <c r="AL245" s="49">
        <v>30.606</v>
      </c>
      <c r="AM245" s="14">
        <f t="shared" si="23"/>
        <v>120406.875</v>
      </c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8"/>
      <c r="ED245" s="18"/>
      <c r="EE245" s="18"/>
      <c r="EF245" s="18"/>
      <c r="EG245" s="18"/>
      <c r="EH245" s="18"/>
      <c r="EI245" s="18"/>
      <c r="EJ245" s="18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</row>
    <row r="246" spans="1:159" s="19" customFormat="1" ht="15">
      <c r="A246" s="22">
        <v>38625</v>
      </c>
      <c r="B246" s="49">
        <f t="shared" si="18"/>
        <v>1683.099</v>
      </c>
      <c r="C246" s="13">
        <v>1465.656</v>
      </c>
      <c r="D246" s="13">
        <v>115.478</v>
      </c>
      <c r="E246" s="13">
        <v>101.965</v>
      </c>
      <c r="F246" s="49">
        <v>286.005</v>
      </c>
      <c r="G246" s="49">
        <f t="shared" si="19"/>
        <v>4849.415</v>
      </c>
      <c r="H246" s="13">
        <v>369.221</v>
      </c>
      <c r="I246" s="13">
        <v>2035.08</v>
      </c>
      <c r="J246" s="13">
        <v>209.632</v>
      </c>
      <c r="K246" s="13">
        <v>112.841</v>
      </c>
      <c r="L246" s="13">
        <v>94.148</v>
      </c>
      <c r="M246" s="13">
        <v>210.203</v>
      </c>
      <c r="N246" s="13">
        <v>447.033</v>
      </c>
      <c r="O246" s="13">
        <v>153.397</v>
      </c>
      <c r="P246" s="13">
        <v>1217.86</v>
      </c>
      <c r="Q246" s="49">
        <f t="shared" si="20"/>
        <v>5275.981000000001</v>
      </c>
      <c r="R246" s="13">
        <v>4897.975</v>
      </c>
      <c r="S246" s="13">
        <v>131.518</v>
      </c>
      <c r="T246" s="13">
        <v>246.488</v>
      </c>
      <c r="U246" s="49">
        <v>555.952</v>
      </c>
      <c r="V246" s="49">
        <f t="shared" si="21"/>
        <v>4971.209000000001</v>
      </c>
      <c r="W246" s="13">
        <v>1089.207</v>
      </c>
      <c r="X246" s="13">
        <v>39.053</v>
      </c>
      <c r="Y246" s="13">
        <v>3842.949</v>
      </c>
      <c r="Z246" s="49">
        <v>837.597</v>
      </c>
      <c r="AA246" s="49">
        <f t="shared" si="22"/>
        <v>31127.758</v>
      </c>
      <c r="AB246" s="13">
        <v>8257.116</v>
      </c>
      <c r="AC246" s="13">
        <v>4.445</v>
      </c>
      <c r="AD246" s="13">
        <v>11755.161</v>
      </c>
      <c r="AE246" s="13">
        <v>11111.036</v>
      </c>
      <c r="AF246" s="49">
        <v>8128.304</v>
      </c>
      <c r="AG246" s="49">
        <v>0</v>
      </c>
      <c r="AH246" s="49">
        <v>20606.793</v>
      </c>
      <c r="AI246" s="49">
        <v>269.027</v>
      </c>
      <c r="AJ246" s="49">
        <v>7337.234</v>
      </c>
      <c r="AK246" s="49">
        <v>38888.864</v>
      </c>
      <c r="AL246" s="49">
        <v>25.067</v>
      </c>
      <c r="AM246" s="14">
        <f t="shared" si="23"/>
        <v>124842.30500000001</v>
      </c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8"/>
      <c r="ED246" s="18"/>
      <c r="EE246" s="18"/>
      <c r="EF246" s="18"/>
      <c r="EG246" s="18"/>
      <c r="EH246" s="18"/>
      <c r="EI246" s="18"/>
      <c r="EJ246" s="18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</row>
    <row r="247" spans="1:159" s="19" customFormat="1" ht="15">
      <c r="A247" s="22">
        <v>38656</v>
      </c>
      <c r="B247" s="49">
        <f t="shared" si="18"/>
        <v>1698.382</v>
      </c>
      <c r="C247" s="13">
        <f>(+'[164]Oct05l&amp;a'!$H$10)/1000</f>
        <v>1449.665</v>
      </c>
      <c r="D247" s="13">
        <f>(+'[164]Oct05l&amp;a'!$H$19)/1000</f>
        <v>117.604</v>
      </c>
      <c r="E247" s="13">
        <f>(+'[164]Oct05l&amp;a'!$H$23)/1000</f>
        <v>131.113</v>
      </c>
      <c r="F247" s="49">
        <f>(+'[164]Oct05l&amp;a'!$I$25)/1000</f>
        <v>291.411</v>
      </c>
      <c r="G247" s="49">
        <f t="shared" si="19"/>
        <v>4897.021999999999</v>
      </c>
      <c r="H247" s="13">
        <f>(+'[164]Oct05l&amp;a'!$H$30)/1000</f>
        <v>360.505</v>
      </c>
      <c r="I247" s="13">
        <f>(+'[164]Oct05l&amp;a'!$H$31+'[164]Oct05l&amp;a'!$H$32)/1000</f>
        <v>2068.535</v>
      </c>
      <c r="J247" s="13">
        <f>(+'[164]Oct05l&amp;a'!$H$33)/1000</f>
        <v>220.381</v>
      </c>
      <c r="K247" s="13">
        <f>(+'[164]Oct05l&amp;a'!$H$34)/1000</f>
        <v>114.969</v>
      </c>
      <c r="L247" s="13">
        <f>(+'[164]Oct05l&amp;a'!$H$35)/1000</f>
        <v>86.468</v>
      </c>
      <c r="M247" s="13">
        <f>(+'[164]Oct05l&amp;a'!$H$36)/1000</f>
        <v>191.18</v>
      </c>
      <c r="N247" s="13">
        <f>(+'[164]Oct05l&amp;a'!$H$37)/1000</f>
        <v>472.071</v>
      </c>
      <c r="O247" s="13">
        <f>(+'[164]Oct05l&amp;a'!$H$38)/1000</f>
        <v>149.659</v>
      </c>
      <c r="P247" s="13">
        <f>(+'[164]Oct05l&amp;a'!$H$39)/1000</f>
        <v>1233.254</v>
      </c>
      <c r="Q247" s="49">
        <f t="shared" si="20"/>
        <v>5393.0599999999995</v>
      </c>
      <c r="R247" s="13">
        <f>(+'[164]Oct05l&amp;a'!$H$42)/1000</f>
        <v>5024.329</v>
      </c>
      <c r="S247" s="13">
        <f>(+'[164]Oct05l&amp;a'!$H$43)/1000</f>
        <v>131.643</v>
      </c>
      <c r="T247" s="13">
        <f>(+'[164]Oct05l&amp;a'!$H$44)/1000</f>
        <v>237.088</v>
      </c>
      <c r="U247" s="49">
        <f>(+'[164]Oct05l&amp;a'!$I$46)/1000</f>
        <v>603.94</v>
      </c>
      <c r="V247" s="49">
        <f t="shared" si="21"/>
        <v>5303.794</v>
      </c>
      <c r="W247" s="13">
        <f>(+'[164]Oct05l&amp;a'!$H$49)/1000</f>
        <v>1410.048</v>
      </c>
      <c r="X247" s="13">
        <f>(+'[164]Oct05l&amp;a'!$H$50)/1000</f>
        <v>44.298</v>
      </c>
      <c r="Y247" s="13">
        <f>(+'[164]Oct05l&amp;a'!$H$51)/1000</f>
        <v>3849.448</v>
      </c>
      <c r="Z247" s="49">
        <f>(+'[164]Oct05l&amp;a'!$I$53)/1000</f>
        <v>876.339</v>
      </c>
      <c r="AA247" s="49">
        <f t="shared" si="22"/>
        <v>30792.172999999995</v>
      </c>
      <c r="AB247" s="13">
        <f>(+'[164]Oct05l&amp;a'!$H$56)/1000</f>
        <v>8284.157</v>
      </c>
      <c r="AC247" s="13">
        <f>(+'[164]Oct05l&amp;a'!$H$57)/1000</f>
        <v>4.408</v>
      </c>
      <c r="AD247" s="13">
        <f>(+'[164]Oct05l&amp;a'!$H$58)/1000</f>
        <v>11272.239</v>
      </c>
      <c r="AE247" s="13">
        <f>(+'[164]Oct05l&amp;a'!$H$59)/1000</f>
        <v>11231.369</v>
      </c>
      <c r="AF247" s="49">
        <f>(+'[164]Oct05l&amp;a'!$I$61)/1000</f>
        <v>8438.071</v>
      </c>
      <c r="AG247" s="49">
        <v>0</v>
      </c>
      <c r="AH247" s="49">
        <f>(+'[164]Oct05l&amp;a'!$I$63)/1000</f>
        <v>21174.988</v>
      </c>
      <c r="AI247" s="49">
        <f>(+'[164]Oct05l&amp;a'!$I$65)/1000</f>
        <v>279.269</v>
      </c>
      <c r="AJ247" s="49">
        <f>(+'[164]Oct05l&amp;a'!$I$67)/1000</f>
        <v>7880.281</v>
      </c>
      <c r="AK247" s="49">
        <f>(+'[164]Oct05l&amp;a'!$I$73)/1000</f>
        <v>38919.196</v>
      </c>
      <c r="AL247" s="49">
        <f>(+'[164]Oct05l&amp;a'!$I$77)/1000</f>
        <v>18.475</v>
      </c>
      <c r="AM247" s="14">
        <f t="shared" si="23"/>
        <v>126566.40100000001</v>
      </c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8"/>
      <c r="ED247" s="18"/>
      <c r="EE247" s="18"/>
      <c r="EF247" s="18"/>
      <c r="EG247" s="18"/>
      <c r="EH247" s="18"/>
      <c r="EI247" s="18"/>
      <c r="EJ247" s="18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</row>
    <row r="248" spans="1:159" s="19" customFormat="1" ht="15">
      <c r="A248" s="22">
        <v>38686</v>
      </c>
      <c r="B248" s="49">
        <f t="shared" si="18"/>
        <v>1776.954</v>
      </c>
      <c r="C248" s="13">
        <f>(+'[107]Nov05l&amp;a'!$H$10)/1000</f>
        <v>1483.033</v>
      </c>
      <c r="D248" s="13">
        <f>(+'[107]Nov05l&amp;a'!$H$19)/1000</f>
        <v>122.652</v>
      </c>
      <c r="E248" s="13">
        <f>(+'[107]Nov05l&amp;a'!$H$23)/1000</f>
        <v>171.269</v>
      </c>
      <c r="F248" s="49">
        <f>(+'[107]Nov05l&amp;a'!$I$25)/1000</f>
        <v>281.21</v>
      </c>
      <c r="G248" s="49">
        <f t="shared" si="19"/>
        <v>4933.615</v>
      </c>
      <c r="H248" s="13">
        <f>(+'[107]Nov05l&amp;a'!$H$30)/1000</f>
        <v>343.752</v>
      </c>
      <c r="I248" s="13">
        <f>(+'[107]Nov05l&amp;a'!$H$31+'[107]Nov05l&amp;a'!$H$32)/1000</f>
        <v>2072.86</v>
      </c>
      <c r="J248" s="13">
        <f>(+'[107]Nov05l&amp;a'!$H$33)/1000</f>
        <v>226.413</v>
      </c>
      <c r="K248" s="13">
        <f>(+'[213]Nov05l&amp;a'!$H$34)/1000</f>
        <v>116.375</v>
      </c>
      <c r="L248" s="13">
        <f>(+'[213]Nov05l&amp;a'!$H$35)/1000</f>
        <v>92.571</v>
      </c>
      <c r="M248" s="13">
        <f>(+'[213]Nov05l&amp;a'!$H$36)/1000</f>
        <v>199.594</v>
      </c>
      <c r="N248" s="13">
        <f>(+'[213]Nov05l&amp;a'!$H$37)/1000</f>
        <v>453.306</v>
      </c>
      <c r="O248" s="13">
        <f>(+'[213]Nov05l&amp;a'!$H$38)/1000</f>
        <v>137.713</v>
      </c>
      <c r="P248" s="13">
        <f>(+'[213]Nov05l&amp;a'!$H$39)/1000</f>
        <v>1291.031</v>
      </c>
      <c r="Q248" s="49">
        <f t="shared" si="20"/>
        <v>5387.925</v>
      </c>
      <c r="R248" s="13">
        <f>(+'[213]Nov05l&amp;a'!$H$42)/1000</f>
        <v>5022.636</v>
      </c>
      <c r="S248" s="13">
        <f>(+'[213]Nov05l&amp;a'!$H$43)/1000</f>
        <v>134.544</v>
      </c>
      <c r="T248" s="13">
        <f>(+'[213]Nov05l&amp;a'!$H$44)/1000</f>
        <v>230.745</v>
      </c>
      <c r="U248" s="49">
        <f>(+'[213]Nov05l&amp;a'!$I$46)/1000</f>
        <v>532.461</v>
      </c>
      <c r="V248" s="49">
        <f t="shared" si="21"/>
        <v>5222.764</v>
      </c>
      <c r="W248" s="13">
        <f>(+'[213]Nov05l&amp;a'!$H$49)/1000</f>
        <v>1341.042</v>
      </c>
      <c r="X248" s="13">
        <f>(+'[213]Nov05l&amp;a'!$H$50)/1000</f>
        <v>35.345</v>
      </c>
      <c r="Y248" s="13">
        <f>(+'[213]Nov05l&amp;a'!$H$51)/1000</f>
        <v>3846.377</v>
      </c>
      <c r="Z248" s="49">
        <f>(+'[213]Nov05l&amp;a'!$I$53)/1000</f>
        <v>835.841</v>
      </c>
      <c r="AA248" s="49">
        <f t="shared" si="22"/>
        <v>34039.664</v>
      </c>
      <c r="AB248" s="13">
        <f>(+'[213]Nov05l&amp;a'!$H$56)/1000</f>
        <v>8452.707</v>
      </c>
      <c r="AC248" s="13">
        <f>(+'[213]Nov05l&amp;a'!$H$57)/1000</f>
        <v>4.042</v>
      </c>
      <c r="AD248" s="13">
        <f>(+'[213]Nov05l&amp;a'!$H$58)/1000</f>
        <v>14141.794</v>
      </c>
      <c r="AE248" s="13">
        <f>(+'[213]Nov05l&amp;a'!$H$59)/1000</f>
        <v>11441.121</v>
      </c>
      <c r="AF248" s="49">
        <f>(+'[213]Nov05l&amp;a'!$I$61)/1000</f>
        <v>8860.966</v>
      </c>
      <c r="AG248" s="49">
        <v>0</v>
      </c>
      <c r="AH248" s="49">
        <f>(+'[213]Nov05l&amp;a'!$I$63)/1000</f>
        <v>23034.752</v>
      </c>
      <c r="AI248" s="49">
        <f>(+'[213]Nov05l&amp;a'!$I$65)/1000</f>
        <v>286.882</v>
      </c>
      <c r="AJ248" s="49">
        <f>(+'[213]Nov05l&amp;a'!$I$67)/1000</f>
        <v>7821.983</v>
      </c>
      <c r="AK248" s="49">
        <f>(+'[213]Nov05l&amp;a'!$I$73)/1000</f>
        <v>40185.621</v>
      </c>
      <c r="AL248" s="49">
        <f>(+'[213]Nov05l&amp;a'!$I$77)/1000</f>
        <v>17.911</v>
      </c>
      <c r="AM248" s="14">
        <f t="shared" si="23"/>
        <v>133218.54899999997</v>
      </c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8"/>
      <c r="ED248" s="18"/>
      <c r="EE248" s="18"/>
      <c r="EF248" s="18"/>
      <c r="EG248" s="18"/>
      <c r="EH248" s="18"/>
      <c r="EI248" s="18"/>
      <c r="EJ248" s="18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</row>
    <row r="249" spans="1:159" s="19" customFormat="1" ht="15">
      <c r="A249" s="22">
        <v>38717</v>
      </c>
      <c r="B249" s="49">
        <f t="shared" si="18"/>
        <v>1831.6290000000001</v>
      </c>
      <c r="C249" s="13">
        <f>(+'[108]Dec05l&amp;a'!$H$10)/1000</f>
        <v>1518.9</v>
      </c>
      <c r="D249" s="13">
        <f>(+'[203]Dec05l&amp;a'!$H$19)/1000</f>
        <v>111.521</v>
      </c>
      <c r="E249" s="13">
        <f>(+'[203]Dec05l&amp;a'!$H$23)/1000</f>
        <v>201.208</v>
      </c>
      <c r="F249" s="49">
        <f>(+'[203]Dec05l&amp;a'!$I$25)/1000</f>
        <v>252.988</v>
      </c>
      <c r="G249" s="49">
        <f t="shared" si="19"/>
        <v>4678.013</v>
      </c>
      <c r="H249" s="13">
        <f>(+'[203]Dec05l&amp;a'!$H$30)/1000</f>
        <v>340.702</v>
      </c>
      <c r="I249" s="13">
        <f>(+'[203]Dec05l&amp;a'!$H$31+'[203]Dec05l&amp;a'!$H$32)/1000</f>
        <v>1892.4</v>
      </c>
      <c r="J249" s="13">
        <f>(+'[203]Dec05l&amp;a'!$H$33)/1000</f>
        <v>230.44</v>
      </c>
      <c r="K249" s="13">
        <f>(+'[203]Dec05l&amp;a'!$H$34)/1000</f>
        <v>151.628</v>
      </c>
      <c r="L249" s="13">
        <f>(+'[203]Dec05l&amp;a'!$H$35)/1000</f>
        <v>89.809</v>
      </c>
      <c r="M249" s="13">
        <f>(+'[203]Dec05l&amp;a'!$H$36)/1000</f>
        <v>216.348</v>
      </c>
      <c r="N249" s="13">
        <f>(+'[203]Dec05l&amp;a'!$H$37)/1000</f>
        <v>370.052</v>
      </c>
      <c r="O249" s="13">
        <f>(+'[203]Dec05l&amp;a'!$H$38)/1000</f>
        <v>135.93</v>
      </c>
      <c r="P249" s="13">
        <f>(+'[203]Dec05l&amp;a'!$H$39)/1000</f>
        <v>1250.704</v>
      </c>
      <c r="Q249" s="49">
        <f t="shared" si="20"/>
        <v>5512.311000000001</v>
      </c>
      <c r="R249" s="13">
        <f>(+'[203]Dec05l&amp;a'!$H$42)/1000</f>
        <v>5149.328</v>
      </c>
      <c r="S249" s="13">
        <f>(+'[203]Dec05l&amp;a'!$H$43)/1000</f>
        <v>136.49</v>
      </c>
      <c r="T249" s="13">
        <f>(+'[203]Dec05l&amp;a'!$H$44)/1000</f>
        <v>226.493</v>
      </c>
      <c r="U249" s="49">
        <f>(+'[203]Dec05l&amp;a'!$I$46)/1000</f>
        <v>613.928</v>
      </c>
      <c r="V249" s="49">
        <f t="shared" si="21"/>
        <v>5209.236</v>
      </c>
      <c r="W249" s="13">
        <f>(+'[203]Dec05l&amp;a'!$H$49)/1000</f>
        <v>1486.091</v>
      </c>
      <c r="X249" s="13">
        <f>(+'[203]Dec05l&amp;a'!$H$50)/1000</f>
        <v>41.508</v>
      </c>
      <c r="Y249" s="13">
        <f>(+'[203]Dec05l&amp;a'!$H$51)/1000</f>
        <v>3681.637</v>
      </c>
      <c r="Z249" s="49">
        <f>(+'[203]Dec05l&amp;a'!$I$53)/1000</f>
        <v>746.328</v>
      </c>
      <c r="AA249" s="49">
        <f t="shared" si="22"/>
        <v>32551.144</v>
      </c>
      <c r="AB249" s="13">
        <f>(+'[203]Dec05l&amp;a'!$H$56)/1000</f>
        <v>7994.575</v>
      </c>
      <c r="AC249" s="13">
        <f>(+'[203]Dec05l&amp;a'!$H$57)/1000</f>
        <v>3.89</v>
      </c>
      <c r="AD249" s="13">
        <f>(+'[203]Dec05l&amp;a'!$H$58)/1000</f>
        <v>12977.521</v>
      </c>
      <c r="AE249" s="13">
        <f>(+'[203]Dec05l&amp;a'!$H$59)/1000</f>
        <v>11575.158</v>
      </c>
      <c r="AF249" s="49">
        <f>(+'[203]Dec05l&amp;a'!$I$61)/1000</f>
        <v>8650.979</v>
      </c>
      <c r="AG249" s="49">
        <v>0</v>
      </c>
      <c r="AH249" s="49">
        <f>(+'[203]Dec05l&amp;a'!$I$63)/1000</f>
        <v>22917.677</v>
      </c>
      <c r="AI249" s="49">
        <f>(+'[203]Dec05l&amp;a'!$I$65)/1000</f>
        <v>274.146</v>
      </c>
      <c r="AJ249" s="49">
        <f>(+'[203]Dec05l&amp;a'!$I$67)/1000</f>
        <v>7680.78</v>
      </c>
      <c r="AK249" s="49">
        <f>(+'[203]Dec05l&amp;a'!$I$73)/1000</f>
        <v>41159.738</v>
      </c>
      <c r="AL249" s="49">
        <f>(+'[203]Dec05l&amp;a'!$I$77)/1000</f>
        <v>16.406</v>
      </c>
      <c r="AM249" s="14">
        <f t="shared" si="23"/>
        <v>132095.30299999999</v>
      </c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8"/>
      <c r="ED249" s="18"/>
      <c r="EE249" s="18"/>
      <c r="EF249" s="18"/>
      <c r="EG249" s="18"/>
      <c r="EH249" s="18"/>
      <c r="EI249" s="18"/>
      <c r="EJ249" s="18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</row>
    <row r="250" spans="1:159" s="19" customFormat="1" ht="15">
      <c r="A250" s="22">
        <v>38748</v>
      </c>
      <c r="B250" s="49">
        <f t="shared" si="18"/>
        <v>1756.0880000000002</v>
      </c>
      <c r="C250" s="13">
        <f>(+'[109]Jan06l&amp;a'!$H$10)/1000</f>
        <v>1438.602</v>
      </c>
      <c r="D250" s="13">
        <f>(+'[202]Jan06l&amp;a'!$H$19)/1000</f>
        <v>114.97</v>
      </c>
      <c r="E250" s="13">
        <f>(+'[202]Jan06l&amp;a'!$H$23)/1000</f>
        <v>202.516</v>
      </c>
      <c r="F250" s="49">
        <f>(+'[202]Jan06l&amp;a'!$I$25)/1000</f>
        <v>255.435</v>
      </c>
      <c r="G250" s="49">
        <f t="shared" si="19"/>
        <v>4987.9490000000005</v>
      </c>
      <c r="H250" s="13">
        <f>(+'[202]Jan06l&amp;a'!$H$30)/1000</f>
        <v>309.181</v>
      </c>
      <c r="I250" s="13">
        <f>(+'[202]Jan06l&amp;a'!$H$31+'[202]Jan06l&amp;a'!$H$32)/1000</f>
        <v>1857.179</v>
      </c>
      <c r="J250" s="13">
        <f>(+'[202]Jan06l&amp;a'!$H$33)/1000</f>
        <v>242.792</v>
      </c>
      <c r="K250" s="13">
        <f>(+'[202]Jan06l&amp;a'!$H$34)/1000</f>
        <v>165.521</v>
      </c>
      <c r="L250" s="13">
        <f>(+'[202]Jan06l&amp;a'!$H$35)/1000</f>
        <v>81.596</v>
      </c>
      <c r="M250" s="13">
        <f>(+'[202]Jan06l&amp;a'!$H$36)/1000</f>
        <v>197.697</v>
      </c>
      <c r="N250" s="13">
        <f>(+'[202]Jan06l&amp;a'!$H$37)/1000</f>
        <v>519.876</v>
      </c>
      <c r="O250" s="13">
        <f>(+'[202]Jan06l&amp;a'!$H$38)/1000</f>
        <v>122.419</v>
      </c>
      <c r="P250" s="13">
        <f>(+'[202]Jan06l&amp;a'!$H$39)/1000</f>
        <v>1491.688</v>
      </c>
      <c r="Q250" s="49">
        <f t="shared" si="20"/>
        <v>5758.768</v>
      </c>
      <c r="R250" s="13">
        <f>(+'[202]Jan06l&amp;a'!$H$42)/1000</f>
        <v>5394.565</v>
      </c>
      <c r="S250" s="13">
        <f>(+'[202]Jan06l&amp;a'!$H$43)/1000</f>
        <v>121.549</v>
      </c>
      <c r="T250" s="13">
        <f>(+'[202]Jan06l&amp;a'!$H$44)/1000</f>
        <v>242.654</v>
      </c>
      <c r="U250" s="49">
        <f>(+'[202]Jan06l&amp;a'!$I$46)/1000</f>
        <v>541.81</v>
      </c>
      <c r="V250" s="49">
        <f t="shared" si="21"/>
        <v>5191.001</v>
      </c>
      <c r="W250" s="13">
        <f>(+'[202]Jan06l&amp;a'!$H$49)/1000</f>
        <v>1474.105</v>
      </c>
      <c r="X250" s="13">
        <f>(+'[202]Jan06l&amp;a'!$H$50)/1000</f>
        <v>38.111</v>
      </c>
      <c r="Y250" s="13">
        <f>(+'[202]Jan06l&amp;a'!$H$51)/1000</f>
        <v>3678.785</v>
      </c>
      <c r="Z250" s="49">
        <f>(+'[202]Jan06l&amp;a'!$I$53)/1000</f>
        <v>742.857</v>
      </c>
      <c r="AA250" s="49">
        <f t="shared" si="22"/>
        <v>30039.757</v>
      </c>
      <c r="AB250" s="13">
        <f>(+'[202]Jan06l&amp;a'!$H$56)/1000</f>
        <v>7705.939</v>
      </c>
      <c r="AC250" s="13">
        <f>(+'[202]Jan06l&amp;a'!$H$57)/1000</f>
        <v>3.103</v>
      </c>
      <c r="AD250" s="13">
        <f>(+'[202]Jan06l&amp;a'!$H$58)/1000</f>
        <v>10730.308</v>
      </c>
      <c r="AE250" s="13">
        <f>(+'[202]Jan06l&amp;a'!$H$59)/1000</f>
        <v>11600.407</v>
      </c>
      <c r="AF250" s="49">
        <f>(+'[202]Jan06l&amp;a'!$I$61)/1000</f>
        <v>8635.271</v>
      </c>
      <c r="AG250" s="49">
        <v>0</v>
      </c>
      <c r="AH250" s="49">
        <f>(+'[202]Jan06l&amp;a'!$I$63)/1000</f>
        <v>24030.268</v>
      </c>
      <c r="AI250" s="49">
        <f>(+'[202]Jan06l&amp;a'!$I$65)/1000</f>
        <v>287.869</v>
      </c>
      <c r="AJ250" s="49">
        <f>(+'[202]Jan06l&amp;a'!$I$67)/1000</f>
        <v>7302.187</v>
      </c>
      <c r="AK250" s="49">
        <f>(+'[202]Jan06l&amp;a'!$I$73)/1000</f>
        <v>41927.63</v>
      </c>
      <c r="AL250" s="49">
        <f>(+'[202]Jan06l&amp;a'!$I$77)/1000</f>
        <v>19.113</v>
      </c>
      <c r="AM250" s="14">
        <f t="shared" si="23"/>
        <v>131476.00300000003</v>
      </c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8"/>
      <c r="ED250" s="18"/>
      <c r="EE250" s="18"/>
      <c r="EF250" s="18"/>
      <c r="EG250" s="18"/>
      <c r="EH250" s="18"/>
      <c r="EI250" s="18"/>
      <c r="EJ250" s="18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</row>
    <row r="251" spans="1:159" s="19" customFormat="1" ht="15">
      <c r="A251" s="22">
        <v>38776</v>
      </c>
      <c r="B251" s="49">
        <f t="shared" si="18"/>
        <v>1808.9319999999998</v>
      </c>
      <c r="C251" s="13">
        <f>(+'[110]Feb06l&amp;a'!$H$10)/1000</f>
        <v>1459.493</v>
      </c>
      <c r="D251" s="13">
        <f>(+'[1]Feb06l&amp;a'!$H$19)/1000</f>
        <v>113.36</v>
      </c>
      <c r="E251" s="13">
        <f>(+'[1]Feb06l&amp;a'!$H$23)/1000</f>
        <v>236.079</v>
      </c>
      <c r="F251" s="49">
        <f>(+'[1]Feb06l&amp;a'!$I$25)/1000</f>
        <v>252.832</v>
      </c>
      <c r="G251" s="49">
        <f t="shared" si="19"/>
        <v>4969.797</v>
      </c>
      <c r="H251" s="13">
        <f>(+'[1]Feb06l&amp;a'!$H$30)/1000</f>
        <v>304.236</v>
      </c>
      <c r="I251" s="13">
        <f>(+'[1]Feb06l&amp;a'!$H$31+'[1]Feb06l&amp;a'!$H$32)/1000</f>
        <v>1898.822</v>
      </c>
      <c r="J251" s="13">
        <f>(+'[1]Feb06l&amp;a'!$H$33)/1000</f>
        <v>246.075</v>
      </c>
      <c r="K251" s="13">
        <f>(+'[1]Feb06l&amp;a'!$H$34)/1000</f>
        <v>171.267</v>
      </c>
      <c r="L251" s="13">
        <f>(+'[1]Feb06l&amp;a'!$H$35)/1000</f>
        <v>76.783</v>
      </c>
      <c r="M251" s="13">
        <f>(+'[1]Feb06l&amp;a'!$H$36)/1000</f>
        <v>183.206</v>
      </c>
      <c r="N251" s="13">
        <f>(+'[1]Feb06l&amp;a'!$H$37)/1000</f>
        <v>524.569</v>
      </c>
      <c r="O251" s="13">
        <f>(+'[1]Feb06l&amp;a'!$H$38)/1000</f>
        <v>116.87</v>
      </c>
      <c r="P251" s="13">
        <f>(+'[1]Feb06l&amp;a'!$H$39)/1000</f>
        <v>1447.969</v>
      </c>
      <c r="Q251" s="49">
        <f t="shared" si="20"/>
        <v>5756.890000000001</v>
      </c>
      <c r="R251" s="13">
        <f>(+'[1]Feb06l&amp;a'!$H$42)/1000</f>
        <v>5392.627</v>
      </c>
      <c r="S251" s="13">
        <f>(+'[1]Feb06l&amp;a'!$H$43)/1000</f>
        <v>121.35</v>
      </c>
      <c r="T251" s="13">
        <f>(+'[1]Feb06l&amp;a'!$H$44)/1000</f>
        <v>242.913</v>
      </c>
      <c r="U251" s="49">
        <f>(+'[1]Feb06l&amp;a'!$I$46)/1000</f>
        <v>618.979</v>
      </c>
      <c r="V251" s="49">
        <f t="shared" si="21"/>
        <v>5205.537</v>
      </c>
      <c r="W251" s="13">
        <f>(+'[1]Feb06l&amp;a'!$H$49)/1000</f>
        <v>1470.382</v>
      </c>
      <c r="X251" s="13">
        <f>(+'[1]Feb06l&amp;a'!$H$50)/1000</f>
        <v>39.543</v>
      </c>
      <c r="Y251" s="13">
        <f>(+'[1]Feb06l&amp;a'!$H$51)/1000</f>
        <v>3695.612</v>
      </c>
      <c r="Z251" s="49">
        <f>(+'[1]Feb06l&amp;a'!$I$53)/1000</f>
        <v>793.899</v>
      </c>
      <c r="AA251" s="49">
        <f t="shared" si="22"/>
        <v>30176.627</v>
      </c>
      <c r="AB251" s="13">
        <f>(+'[1]Feb06l&amp;a'!$H$56)/1000</f>
        <v>7651.952</v>
      </c>
      <c r="AC251" s="13">
        <f>(+'[1]Feb06l&amp;a'!$H$57)/1000</f>
        <v>1.217</v>
      </c>
      <c r="AD251" s="13">
        <f>(+'[1]Feb06l&amp;a'!$H$58)/1000</f>
        <v>10564.618</v>
      </c>
      <c r="AE251" s="13">
        <f>(+'[1]Feb06l&amp;a'!$H$59)/1000</f>
        <v>11958.84</v>
      </c>
      <c r="AF251" s="49">
        <f>(+'[1]Feb06l&amp;a'!$I$61)/1000</f>
        <v>8956.503</v>
      </c>
      <c r="AG251" s="49">
        <v>0</v>
      </c>
      <c r="AH251" s="49">
        <f>(+'[1]Feb06l&amp;a'!$I$63)/1000</f>
        <v>21367.957</v>
      </c>
      <c r="AI251" s="49">
        <f>(+'[1]Feb06l&amp;a'!$I$65)/1000</f>
        <v>282.342</v>
      </c>
      <c r="AJ251" s="49">
        <f>(+'[1]Feb06l&amp;a'!$I$67)/1000</f>
        <v>7388.758</v>
      </c>
      <c r="AK251" s="49">
        <f>(+'[1]Feb06l&amp;a'!$I$73)/1000</f>
        <v>42917.012</v>
      </c>
      <c r="AL251" s="49">
        <f>(+'[1]Feb06l&amp;a'!$I$77)/1000</f>
        <v>17.274</v>
      </c>
      <c r="AM251" s="14">
        <f t="shared" si="23"/>
        <v>130513.339</v>
      </c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8"/>
      <c r="ED251" s="18"/>
      <c r="EE251" s="18"/>
      <c r="EF251" s="18"/>
      <c r="EG251" s="18"/>
      <c r="EH251" s="18"/>
      <c r="EI251" s="18"/>
      <c r="EJ251" s="18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</row>
    <row r="252" spans="1:159" s="19" customFormat="1" ht="15">
      <c r="A252" s="22">
        <v>38807</v>
      </c>
      <c r="B252" s="49">
        <f t="shared" si="18"/>
        <v>1866.511</v>
      </c>
      <c r="C252" s="13">
        <f>(+'[111]Mar06l&amp;a'!$H$10)/1000</f>
        <v>1449.848</v>
      </c>
      <c r="D252" s="13">
        <f>(+'[2]Mar06l&amp;a'!$H$19)/1000</f>
        <v>174.309</v>
      </c>
      <c r="E252" s="13">
        <f>(+'[2]Mar06l&amp;a'!$H$23)/1000</f>
        <v>242.354</v>
      </c>
      <c r="F252" s="49">
        <f>(+'[2]Mar06l&amp;a'!$I$25)/1000</f>
        <v>361.125</v>
      </c>
      <c r="G252" s="49">
        <f t="shared" si="19"/>
        <v>4878.217000000001</v>
      </c>
      <c r="H252" s="13">
        <f>(+'[2]Mar06l&amp;a'!$H$30)/1000</f>
        <v>299.009</v>
      </c>
      <c r="I252" s="13">
        <f>(+'[2]Mar06l&amp;a'!$H$31+'[2]Mar06l&amp;a'!$H$32)/1000</f>
        <v>1754.867</v>
      </c>
      <c r="J252" s="13">
        <f>(+'[2]Mar06l&amp;a'!$H$33)/1000</f>
        <v>255.219</v>
      </c>
      <c r="K252" s="13">
        <f>(+'[2]Mar06l&amp;a'!$H$34)/1000</f>
        <v>187.384</v>
      </c>
      <c r="L252" s="13">
        <f>(+'[2]Mar06l&amp;a'!$H$35)/1000</f>
        <v>79.908</v>
      </c>
      <c r="M252" s="13">
        <f>(+'[2]Mar06l&amp;a'!$H$36)/1000</f>
        <v>205.382</v>
      </c>
      <c r="N252" s="13">
        <f>(+'[2]Mar06l&amp;a'!$H$37)/1000</f>
        <v>586.255</v>
      </c>
      <c r="O252" s="13">
        <f>(+'[2]Mar06l&amp;a'!$H$38)/1000</f>
        <v>139.65</v>
      </c>
      <c r="P252" s="13">
        <f>(+'[2]Mar06l&amp;a'!$H$39)/1000</f>
        <v>1370.543</v>
      </c>
      <c r="Q252" s="49">
        <f t="shared" si="20"/>
        <v>5838.017</v>
      </c>
      <c r="R252" s="13">
        <f>(+'[2]Mar06l&amp;a'!$H$42)/1000</f>
        <v>5477.255</v>
      </c>
      <c r="S252" s="13">
        <f>(+'[2]Mar06l&amp;a'!$H$43)/1000</f>
        <v>119.393</v>
      </c>
      <c r="T252" s="13">
        <f>(+'[2]Mar06l&amp;a'!$H$44)/1000</f>
        <v>241.369</v>
      </c>
      <c r="U252" s="49">
        <f>(+'[2]Mar06l&amp;a'!$I$46)/1000</f>
        <v>1359.051</v>
      </c>
      <c r="V252" s="49">
        <f t="shared" si="21"/>
        <v>5191.477</v>
      </c>
      <c r="W252" s="13">
        <f>(+'[2]Mar06l&amp;a'!$H$49)/1000</f>
        <v>1476.171</v>
      </c>
      <c r="X252" s="13">
        <f>(+'[2]Mar06l&amp;a'!$H$50)/1000</f>
        <v>31.44</v>
      </c>
      <c r="Y252" s="13">
        <f>(+'[2]Mar06l&amp;a'!$H$51)/1000</f>
        <v>3683.866</v>
      </c>
      <c r="Z252" s="49">
        <f>(+'[2]Mar06l&amp;a'!$I$53)/1000</f>
        <v>747.702</v>
      </c>
      <c r="AA252" s="49">
        <f t="shared" si="22"/>
        <v>29052.183</v>
      </c>
      <c r="AB252" s="13">
        <f>(+'[2]Mar06l&amp;a'!$H$56)/1000</f>
        <v>7152.976</v>
      </c>
      <c r="AC252" s="13">
        <f>(+'[2]Mar06l&amp;a'!$H$57)/1000</f>
        <v>3.432</v>
      </c>
      <c r="AD252" s="13">
        <f>(+'[2]Mar06l&amp;a'!$H$58)/1000</f>
        <v>9690.6</v>
      </c>
      <c r="AE252" s="13">
        <f>(+'[2]Mar06l&amp;a'!$H$59)/1000</f>
        <v>12205.175</v>
      </c>
      <c r="AF252" s="49">
        <f>(+'[2]Mar06l&amp;a'!$I$61)/1000</f>
        <v>9761.232</v>
      </c>
      <c r="AG252" s="49">
        <v>0</v>
      </c>
      <c r="AH252" s="49">
        <f>(+'[2]Mar06l&amp;a'!$I$63)/1000</f>
        <v>20887.606</v>
      </c>
      <c r="AI252" s="49">
        <f>(+'[2]Mar06l&amp;a'!$I$65)/1000</f>
        <v>282.798</v>
      </c>
      <c r="AJ252" s="49">
        <f>(+'[2]Mar06l&amp;a'!$I$67)/1000</f>
        <v>8108.677</v>
      </c>
      <c r="AK252" s="49">
        <f>(+'[2]Mar06l&amp;a'!$I$73)/1000</f>
        <v>43614.117</v>
      </c>
      <c r="AL252" s="49">
        <f>(+'[2]Mar06l&amp;a'!$I$77)/1000</f>
        <v>14.863</v>
      </c>
      <c r="AM252" s="14">
        <f t="shared" si="23"/>
        <v>131963.576</v>
      </c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8"/>
      <c r="ED252" s="18"/>
      <c r="EE252" s="18"/>
      <c r="EF252" s="18"/>
      <c r="EG252" s="18"/>
      <c r="EH252" s="18"/>
      <c r="EI252" s="18"/>
      <c r="EJ252" s="18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</row>
    <row r="253" spans="1:159" s="19" customFormat="1" ht="15">
      <c r="A253" s="22">
        <v>38837</v>
      </c>
      <c r="B253" s="49">
        <f t="shared" si="18"/>
        <v>2166.6369999999997</v>
      </c>
      <c r="C253" s="13">
        <f>(+'[165]Apr06l&amp;a'!$H$10)/1000</f>
        <v>1485.676</v>
      </c>
      <c r="D253" s="13">
        <f>(+'[165]Apr06l&amp;a'!$H$19)/1000</f>
        <v>417.52</v>
      </c>
      <c r="E253" s="13">
        <f>(+'[165]Apr06l&amp;a'!$H$23)/1000</f>
        <v>263.441</v>
      </c>
      <c r="F253" s="49">
        <f>(+'[165]Apr06l&amp;a'!$I$25)/1000</f>
        <v>347.622</v>
      </c>
      <c r="G253" s="49">
        <f t="shared" si="19"/>
        <v>4919.5380000000005</v>
      </c>
      <c r="H253" s="13">
        <f>(+'[165]Apr06l&amp;a'!$H$30)/1000</f>
        <v>293.699</v>
      </c>
      <c r="I253" s="13">
        <f>(+'[165]Apr06l&amp;a'!$H$31+'[165]Apr06l&amp;a'!$H$32)/1000</f>
        <v>1849.23</v>
      </c>
      <c r="J253" s="13">
        <f>(+'[165]Apr06l&amp;a'!$H$33)/1000</f>
        <v>241.869</v>
      </c>
      <c r="K253" s="13">
        <f>(+'[165]Apr06l&amp;a'!$H$34)/1000</f>
        <v>182.093</v>
      </c>
      <c r="L253" s="13">
        <f>(+'[165]Apr06l&amp;a'!$H$35)/1000</f>
        <v>87.238</v>
      </c>
      <c r="M253" s="13">
        <f>(+'[165]Apr06l&amp;a'!$H$36)/1000</f>
        <v>218.032</v>
      </c>
      <c r="N253" s="13">
        <f>(+'[165]Apr06l&amp;a'!$H$37)/1000</f>
        <v>519.353</v>
      </c>
      <c r="O253" s="13">
        <f>(+'[165]Apr06l&amp;a'!$H$38)/1000</f>
        <v>144.244</v>
      </c>
      <c r="P253" s="13">
        <f>(+'[165]Apr06l&amp;a'!$H$39)/1000</f>
        <v>1383.78</v>
      </c>
      <c r="Q253" s="49">
        <f t="shared" si="20"/>
        <v>6013.564</v>
      </c>
      <c r="R253" s="13">
        <f>(+'[165]Apr06l&amp;a'!$H$42)/1000</f>
        <v>5646.928</v>
      </c>
      <c r="S253" s="13">
        <f>(+'[165]Apr06l&amp;a'!$H$43)/1000</f>
        <v>128.194</v>
      </c>
      <c r="T253" s="13">
        <f>(+'[165]Apr06l&amp;a'!$H$44)/1000</f>
        <v>238.442</v>
      </c>
      <c r="U253" s="49">
        <f>(+'[165]Apr06l&amp;a'!$I$46)/1000</f>
        <v>1255.018</v>
      </c>
      <c r="V253" s="49">
        <f t="shared" si="21"/>
        <v>5195.657</v>
      </c>
      <c r="W253" s="13">
        <f>(+'[165]Apr06l&amp;a'!$H$49)/1000</f>
        <v>1463.568</v>
      </c>
      <c r="X253" s="13">
        <f>(+'[165]Apr06l&amp;a'!$H$50)/1000</f>
        <v>40.443</v>
      </c>
      <c r="Y253" s="13">
        <f>(+'[165]Apr06l&amp;a'!$H$51)/1000</f>
        <v>3691.646</v>
      </c>
      <c r="Z253" s="49">
        <f>(+'[165]Apr06l&amp;a'!$I$53)/1000</f>
        <v>746.043</v>
      </c>
      <c r="AA253" s="49">
        <f t="shared" si="22"/>
        <v>29338.984</v>
      </c>
      <c r="AB253" s="13">
        <f>(+'[165]Apr06l&amp;a'!$H$56)/1000</f>
        <v>7250.096</v>
      </c>
      <c r="AC253" s="13">
        <f>(+'[165]Apr06l&amp;a'!$H$57)/1000</f>
        <v>2.698</v>
      </c>
      <c r="AD253" s="13">
        <f>(+'[165]Apr06l&amp;a'!$H$58)/1000</f>
        <v>10156.597</v>
      </c>
      <c r="AE253" s="13">
        <f>(+'[165]Apr06l&amp;a'!$H$59)/1000</f>
        <v>11929.593</v>
      </c>
      <c r="AF253" s="49">
        <f>(+'[165]Apr06l&amp;a'!$I$61)/1000</f>
        <v>9304.577</v>
      </c>
      <c r="AG253" s="49">
        <v>0</v>
      </c>
      <c r="AH253" s="49">
        <f>(+'[165]Apr06l&amp;a'!$I$63)/1000</f>
        <v>21601.851</v>
      </c>
      <c r="AI253" s="49">
        <f>(+'[165]Apr06l&amp;a'!$I$65)/1000</f>
        <v>288.077</v>
      </c>
      <c r="AJ253" s="49">
        <f>(+'[165]Apr06l&amp;a'!$I$67)/1000</f>
        <v>7353.738</v>
      </c>
      <c r="AK253" s="49">
        <f>(+'[165]Apr06l&amp;a'!$I$73)/1000</f>
        <v>44584.499</v>
      </c>
      <c r="AL253" s="49">
        <f>(+'[165]Apr06l&amp;a'!$I$77)/1000</f>
        <v>14.687</v>
      </c>
      <c r="AM253" s="14">
        <f t="shared" si="23"/>
        <v>133130.492</v>
      </c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8"/>
      <c r="ED253" s="18"/>
      <c r="EE253" s="18"/>
      <c r="EF253" s="18"/>
      <c r="EG253" s="18"/>
      <c r="EH253" s="18"/>
      <c r="EI253" s="18"/>
      <c r="EJ253" s="18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</row>
    <row r="254" spans="1:159" s="19" customFormat="1" ht="15">
      <c r="A254" s="22">
        <v>38868</v>
      </c>
      <c r="B254" s="49">
        <f t="shared" si="18"/>
        <v>2274.617</v>
      </c>
      <c r="C254" s="13">
        <f>(+'[112]May06l&amp;a'!$H$10)/1000</f>
        <v>1470.036</v>
      </c>
      <c r="D254" s="13">
        <f>(+'[166]May06l&amp;a'!$H$19)/1000</f>
        <v>511.288</v>
      </c>
      <c r="E254" s="13">
        <f>(+'[166]May06l&amp;a'!$H$23)/1000</f>
        <v>293.293</v>
      </c>
      <c r="F254" s="49">
        <f>(+'[166]May06l&amp;a'!$I$25)/1000</f>
        <v>327.105</v>
      </c>
      <c r="G254" s="49">
        <f t="shared" si="19"/>
        <v>4824.1410000000005</v>
      </c>
      <c r="H254" s="13">
        <f>(+'[166]May06l&amp;a'!$H$30)/1000</f>
        <v>302.348</v>
      </c>
      <c r="I254" s="13">
        <f>(+'[166]May06l&amp;a'!$H$31+'[166]May06l&amp;a'!$H$32)/1000</f>
        <v>1864.822</v>
      </c>
      <c r="J254" s="13">
        <f>(+'[166]May06l&amp;a'!$H$33)/1000</f>
        <v>268.516</v>
      </c>
      <c r="K254" s="13">
        <f>(+'[166]May06l&amp;a'!$H$34)/1000</f>
        <v>185.313</v>
      </c>
      <c r="L254" s="13">
        <f>(+'[166]May06l&amp;a'!$H$35)/1000</f>
        <v>100.355</v>
      </c>
      <c r="M254" s="13">
        <f>(+'[166]May06l&amp;a'!$H$36)/1000</f>
        <v>217.313</v>
      </c>
      <c r="N254" s="13">
        <f>(+'[166]May06l&amp;a'!$H$37)/1000</f>
        <v>430.074</v>
      </c>
      <c r="O254" s="13">
        <f>(+'[166]May06l&amp;a'!$H$38)/1000</f>
        <v>125.409</v>
      </c>
      <c r="P254" s="13">
        <f>(+'[166]May06l&amp;a'!$H$39)/1000</f>
        <v>1329.991</v>
      </c>
      <c r="Q254" s="49">
        <f t="shared" si="20"/>
        <v>6388.766</v>
      </c>
      <c r="R254" s="13">
        <f>(+'[166]May06l&amp;a'!$H$42)/1000</f>
        <v>5996.106</v>
      </c>
      <c r="S254" s="13">
        <f>(+'[166]May06l&amp;a'!$H$43)/1000</f>
        <v>124.789</v>
      </c>
      <c r="T254" s="13">
        <f>(+'[166]May06l&amp;a'!$H$44)/1000</f>
        <v>267.871</v>
      </c>
      <c r="U254" s="49">
        <f>(+'[166]May06l&amp;a'!$I$46)/1000</f>
        <v>1349.401</v>
      </c>
      <c r="V254" s="49">
        <f t="shared" si="21"/>
        <v>5323.737</v>
      </c>
      <c r="W254" s="13">
        <f>(+'[166]May06l&amp;a'!$H$49)/1000</f>
        <v>1599.933</v>
      </c>
      <c r="X254" s="13">
        <f>(+'[166]May06l&amp;a'!$H$50)/1000</f>
        <v>35.328</v>
      </c>
      <c r="Y254" s="13">
        <f>(+'[166]May06l&amp;a'!$H$51)/1000</f>
        <v>3688.476</v>
      </c>
      <c r="Z254" s="49">
        <f>(+'[166]May06l&amp;a'!$I$53)/1000</f>
        <v>748.635</v>
      </c>
      <c r="AA254" s="49">
        <f t="shared" si="22"/>
        <v>30095.315</v>
      </c>
      <c r="AB254" s="13">
        <f>(+'[166]May06l&amp;a'!$H$56)/1000</f>
        <v>7246.009</v>
      </c>
      <c r="AC254" s="13">
        <f>(+'[166]May06l&amp;a'!$H$57)/1000</f>
        <v>0.322</v>
      </c>
      <c r="AD254" s="13">
        <f>(+'[166]May06l&amp;a'!$H$58)/1000</f>
        <v>10184.379</v>
      </c>
      <c r="AE254" s="13">
        <f>(+'[166]May06l&amp;a'!$H$59)/1000</f>
        <v>12664.605</v>
      </c>
      <c r="AF254" s="49">
        <f>(+'[166]May06l&amp;a'!$I$61)/1000</f>
        <v>8888.545</v>
      </c>
      <c r="AG254" s="49">
        <v>0</v>
      </c>
      <c r="AH254" s="49">
        <f>(+'[166]May06l&amp;a'!$I$63)/1000</f>
        <v>21705.592</v>
      </c>
      <c r="AI254" s="49">
        <f>(+'[166]May06l&amp;a'!$I$65)/1000</f>
        <v>278.627</v>
      </c>
      <c r="AJ254" s="49">
        <f>(+'[166]May06l&amp;a'!$I$67)/1000</f>
        <v>7304.489</v>
      </c>
      <c r="AK254" s="49">
        <f>(+'[166]May06l&amp;a'!$I$73)/1000</f>
        <v>45583.535</v>
      </c>
      <c r="AL254" s="49">
        <f>(+'[166]May06l&amp;a'!$I$77)/1000</f>
        <v>15.518</v>
      </c>
      <c r="AM254" s="14">
        <f t="shared" si="23"/>
        <v>135108.02300000002</v>
      </c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8"/>
      <c r="ED254" s="18"/>
      <c r="EE254" s="18"/>
      <c r="EF254" s="18"/>
      <c r="EG254" s="18"/>
      <c r="EH254" s="18"/>
      <c r="EI254" s="18"/>
      <c r="EJ254" s="18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</row>
    <row r="255" spans="1:159" s="19" customFormat="1" ht="15">
      <c r="A255" s="22">
        <v>38898</v>
      </c>
      <c r="B255" s="49">
        <f t="shared" si="18"/>
        <v>2336.856</v>
      </c>
      <c r="C255" s="13">
        <f>(+'[113]June06l&amp;a'!$H$10)/1000</f>
        <v>1432.646</v>
      </c>
      <c r="D255" s="13">
        <f>(+'[167]June06l&amp;a'!$H$19)/1000</f>
        <v>610.314</v>
      </c>
      <c r="E255" s="13">
        <f>(+'[167]June06l&amp;a'!$H$23)/1000</f>
        <v>293.896</v>
      </c>
      <c r="F255" s="49">
        <f>(+'[167]June06l&amp;a'!$I$25)/1000</f>
        <v>361.159</v>
      </c>
      <c r="G255" s="49">
        <f t="shared" si="19"/>
        <v>5256.732</v>
      </c>
      <c r="H255" s="13">
        <f>(+'[167]June06l&amp;a'!$H$30)/1000</f>
        <v>356.474</v>
      </c>
      <c r="I255" s="13">
        <f>(+'[167]June06l&amp;a'!$H$31+'[167]June06l&amp;a'!$H$32)/1000</f>
        <v>2127.626</v>
      </c>
      <c r="J255" s="13">
        <f>(+'[167]June06l&amp;a'!$H$33)/1000</f>
        <v>270.923</v>
      </c>
      <c r="K255" s="13">
        <f>(+'[167]June06l&amp;a'!$H$34)/1000</f>
        <v>196.363</v>
      </c>
      <c r="L255" s="13">
        <f>(+'[167]June06l&amp;a'!$H$35)/1000</f>
        <v>103.704</v>
      </c>
      <c r="M255" s="13">
        <f>(+'[167]June06l&amp;a'!$H$36)/1000</f>
        <v>211.882</v>
      </c>
      <c r="N255" s="13">
        <f>(+'[167]June06l&amp;a'!$H$37)/1000</f>
        <v>529.967</v>
      </c>
      <c r="O255" s="13">
        <f>(+'[167]June06l&amp;a'!$H$38)/1000</f>
        <v>118.458</v>
      </c>
      <c r="P255" s="13">
        <f>(+'[167]June06l&amp;a'!$H$39)/1000</f>
        <v>1341.335</v>
      </c>
      <c r="Q255" s="49">
        <f t="shared" si="20"/>
        <v>6761.829</v>
      </c>
      <c r="R255" s="13">
        <f>(+'[167]June06l&amp;a'!$H$42)/1000</f>
        <v>6372.083</v>
      </c>
      <c r="S255" s="13">
        <f>(+'[167]June06l&amp;a'!$H$43)/1000</f>
        <v>118.898</v>
      </c>
      <c r="T255" s="13">
        <f>(+'[167]June06l&amp;a'!$H$44)/1000</f>
        <v>270.848</v>
      </c>
      <c r="U255" s="49">
        <f>(+'[167]June06l&amp;a'!$I$46)/1000</f>
        <v>1317.753</v>
      </c>
      <c r="V255" s="49">
        <f t="shared" si="21"/>
        <v>5673.445</v>
      </c>
      <c r="W255" s="13">
        <f>(+'[167]June06l&amp;a'!$H$49)/1000</f>
        <v>2119.941</v>
      </c>
      <c r="X255" s="13">
        <f>(+'[167]June06l&amp;a'!$H$50)/1000</f>
        <v>32.988</v>
      </c>
      <c r="Y255" s="13">
        <f>(+'[167]June06l&amp;a'!$H$51)/1000</f>
        <v>3520.516</v>
      </c>
      <c r="Z255" s="49">
        <f>(+'[167]June06l&amp;a'!$I$53)/1000</f>
        <v>760.612</v>
      </c>
      <c r="AA255" s="49">
        <f t="shared" si="22"/>
        <v>30991.795</v>
      </c>
      <c r="AB255" s="13">
        <f>(+'[167]June06l&amp;a'!$H$56)/1000</f>
        <v>6782.037</v>
      </c>
      <c r="AC255" s="13">
        <f>(+'[167]June06l&amp;a'!$H$57)/1000</f>
        <v>2.03</v>
      </c>
      <c r="AD255" s="13">
        <f>(+'[167]June06l&amp;a'!$H$58)/1000</f>
        <v>11028.613</v>
      </c>
      <c r="AE255" s="13">
        <f>(+'[167]June06l&amp;a'!$H$59)/1000</f>
        <v>13179.115</v>
      </c>
      <c r="AF255" s="49">
        <f>(+'[167]June06l&amp;a'!$I$61)/1000</f>
        <v>10276.491</v>
      </c>
      <c r="AG255" s="49">
        <v>0</v>
      </c>
      <c r="AH255" s="49">
        <f>(+'[167]June06l&amp;a'!$I$63)/1000</f>
        <v>21887.205</v>
      </c>
      <c r="AI255" s="49">
        <f>(+'[167]June06l&amp;a'!$I$65)/1000</f>
        <v>289.616</v>
      </c>
      <c r="AJ255" s="49">
        <f>(+'[167]June06l&amp;a'!$I$67)/1000</f>
        <v>7540.938</v>
      </c>
      <c r="AK255" s="49">
        <f>(+'[167]June06l&amp;a'!$I$73)/1000</f>
        <v>46784.977</v>
      </c>
      <c r="AL255" s="49">
        <f>(+'[167]June06l&amp;a'!$I$77)/1000</f>
        <v>25.858</v>
      </c>
      <c r="AM255" s="14">
        <f t="shared" si="23"/>
        <v>140265.266</v>
      </c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8"/>
      <c r="ED255" s="18"/>
      <c r="EE255" s="18"/>
      <c r="EF255" s="18"/>
      <c r="EG255" s="18"/>
      <c r="EH255" s="18"/>
      <c r="EI255" s="18"/>
      <c r="EJ255" s="18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</row>
    <row r="256" spans="1:159" s="19" customFormat="1" ht="15">
      <c r="A256" s="22">
        <v>38929</v>
      </c>
      <c r="B256" s="49">
        <f t="shared" si="18"/>
        <v>2280.3369999999995</v>
      </c>
      <c r="C256" s="13">
        <f>(+'[114]July06l&amp;a'!$H$10)/1000</f>
        <v>1374.849</v>
      </c>
      <c r="D256" s="13">
        <f>(+'[168]July06l&amp;a'!$H$19)/1000</f>
        <v>612.132</v>
      </c>
      <c r="E256" s="13">
        <f>(+'[168]July06l&amp;a'!$H$23)/1000</f>
        <v>293.356</v>
      </c>
      <c r="F256" s="49">
        <f>(+'[168]July06l&amp;a'!$I$25)/1000</f>
        <v>347.064</v>
      </c>
      <c r="G256" s="49">
        <f t="shared" si="19"/>
        <v>5202.110000000001</v>
      </c>
      <c r="H256" s="13">
        <f>(+'[168]July06l&amp;a'!$H$30)/1000</f>
        <v>311.962</v>
      </c>
      <c r="I256" s="13">
        <f>(+'[168]July06l&amp;a'!$H$31+'[168]July06l&amp;a'!$H$32)/1000</f>
        <v>1855.719</v>
      </c>
      <c r="J256" s="13">
        <f>(+'[168]July06l&amp;a'!$H$33)/1000</f>
        <v>271.337</v>
      </c>
      <c r="K256" s="13">
        <f>(+'[168]July06l&amp;a'!$H$34)/1000</f>
        <v>203.496</v>
      </c>
      <c r="L256" s="13">
        <f>(+'[168]July06l&amp;a'!$H$35)/1000</f>
        <v>182.425</v>
      </c>
      <c r="M256" s="13">
        <f>(+'[168]July06l&amp;a'!$H$36)/1000</f>
        <v>212.563</v>
      </c>
      <c r="N256" s="13">
        <f>(+'[168]July06l&amp;a'!$H$37)/1000</f>
        <v>499.667</v>
      </c>
      <c r="O256" s="13">
        <f>(+'[168]July06l&amp;a'!$H$38)/1000</f>
        <v>96.219</v>
      </c>
      <c r="P256" s="13">
        <f>(+'[168]July06l&amp;a'!$H$39)/1000</f>
        <v>1568.722</v>
      </c>
      <c r="Q256" s="49">
        <f t="shared" si="20"/>
        <v>7052.43</v>
      </c>
      <c r="R256" s="13">
        <f>(+'[168]July06l&amp;a'!$H$42)/1000</f>
        <v>6669.057</v>
      </c>
      <c r="S256" s="13">
        <f>(+'[168]July06l&amp;a'!$H$43)/1000</f>
        <v>106.086</v>
      </c>
      <c r="T256" s="13">
        <f>(+'[168]July06l&amp;a'!$H$44)/1000</f>
        <v>277.287</v>
      </c>
      <c r="U256" s="49">
        <f>(+'[168]July06l&amp;a'!$I$46)/1000</f>
        <v>1830.952</v>
      </c>
      <c r="V256" s="49">
        <f t="shared" si="21"/>
        <v>4567.405</v>
      </c>
      <c r="W256" s="13">
        <f>(+'[168]July06l&amp;a'!$H$49)/1000</f>
        <v>2380.962</v>
      </c>
      <c r="X256" s="13">
        <f>(+'[168]July06l&amp;a'!$H$50)/1000</f>
        <v>39.919</v>
      </c>
      <c r="Y256" s="13">
        <f>(+'[168]July06l&amp;a'!$H$51)/1000</f>
        <v>2146.524</v>
      </c>
      <c r="Z256" s="49">
        <f>(+'[168]July06l&amp;a'!$I$53)/1000</f>
        <v>893.09</v>
      </c>
      <c r="AA256" s="49">
        <f t="shared" si="22"/>
        <v>30235.358999999997</v>
      </c>
      <c r="AB256" s="13">
        <f>(+'[168]July06l&amp;a'!$H$56)/1000</f>
        <v>6499.987</v>
      </c>
      <c r="AC256" s="13">
        <f>(+'[168]July06l&amp;a'!$H$57)/1000</f>
        <v>2.698</v>
      </c>
      <c r="AD256" s="13">
        <f>(+'[168]July06l&amp;a'!$H$58)/1000</f>
        <v>10555.594</v>
      </c>
      <c r="AE256" s="13">
        <f>(+'[168]July06l&amp;a'!$H$59)/1000</f>
        <v>13177.08</v>
      </c>
      <c r="AF256" s="49">
        <f>(+'[168]July06l&amp;a'!$I$61)/1000</f>
        <v>10889.252</v>
      </c>
      <c r="AG256" s="49">
        <v>0</v>
      </c>
      <c r="AH256" s="49">
        <f>(+'[168]July06l&amp;a'!$I$63)/1000</f>
        <v>21719.952</v>
      </c>
      <c r="AI256" s="49">
        <f>(+'[168]July06l&amp;a'!$I$65)/1000</f>
        <v>287.016</v>
      </c>
      <c r="AJ256" s="49">
        <f>(+'[168]July06l&amp;a'!$I$67)/1000</f>
        <v>7268.612</v>
      </c>
      <c r="AK256" s="49">
        <f>(+'[168]July06l&amp;a'!$I$73)/1000</f>
        <v>47950.632</v>
      </c>
      <c r="AL256" s="49">
        <f>(+'[168]July06l&amp;a'!$I$77)/1000</f>
        <v>32.525</v>
      </c>
      <c r="AM256" s="14">
        <f t="shared" si="23"/>
        <v>140556.736</v>
      </c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8"/>
      <c r="ED256" s="18"/>
      <c r="EE256" s="18"/>
      <c r="EF256" s="18"/>
      <c r="EG256" s="18"/>
      <c r="EH256" s="18"/>
      <c r="EI256" s="18"/>
      <c r="EJ256" s="18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</row>
    <row r="257" spans="1:159" s="19" customFormat="1" ht="15">
      <c r="A257" s="22">
        <v>38960</v>
      </c>
      <c r="B257" s="49">
        <f t="shared" si="18"/>
        <v>1781.5279999999998</v>
      </c>
      <c r="C257" s="13">
        <f>(+'[169]Aug06l&amp;a'!$H$10)/1000</f>
        <v>1351.725</v>
      </c>
      <c r="D257" s="13">
        <f>(+'[169]Aug06l&amp;a'!$H$19)/1000</f>
        <v>116.241</v>
      </c>
      <c r="E257" s="13">
        <f>(+'[169]Aug06l&amp;a'!$H$23)/1000</f>
        <v>313.562</v>
      </c>
      <c r="F257" s="49">
        <f>(+'[169]Aug06l&amp;a'!$I$25)/1000</f>
        <v>636.419</v>
      </c>
      <c r="G257" s="49">
        <f t="shared" si="19"/>
        <v>5487.964</v>
      </c>
      <c r="H257" s="13">
        <f>(+'[169]Aug06l&amp;a'!$H$30)/1000</f>
        <v>316.099</v>
      </c>
      <c r="I257" s="13">
        <f>(+'[169]Aug06l&amp;a'!$H$31+'[169]Aug06l&amp;a'!$H$32)/1000</f>
        <v>1876.751</v>
      </c>
      <c r="J257" s="13">
        <f>(+'[169]Aug06l&amp;a'!$H$33)/1000</f>
        <v>267.534</v>
      </c>
      <c r="K257" s="13">
        <f>(+'[169]Aug06l&amp;a'!$H$34)/1000</f>
        <v>196.196</v>
      </c>
      <c r="L257" s="13">
        <f>(+'[169]Aug06l&amp;a'!$H$35)/1000</f>
        <v>155.806</v>
      </c>
      <c r="M257" s="13">
        <f>(+'[169]Aug06l&amp;a'!$H$36)/1000</f>
        <v>220.85</v>
      </c>
      <c r="N257" s="13">
        <f>(+'[169]Aug06l&amp;a'!$H$37)/1000</f>
        <v>767.46</v>
      </c>
      <c r="O257" s="13">
        <f>(+'[169]Aug06l&amp;a'!$H$38)/1000</f>
        <v>64.416</v>
      </c>
      <c r="P257" s="13">
        <f>(+'[169]Aug06l&amp;a'!$H$39)/1000</f>
        <v>1622.852</v>
      </c>
      <c r="Q257" s="49">
        <f t="shared" si="20"/>
        <v>6772.81</v>
      </c>
      <c r="R257" s="13">
        <f>(+'[169]Aug06l&amp;a'!$H$42)/1000</f>
        <v>6391.131</v>
      </c>
      <c r="S257" s="13">
        <f>(+'[169]Aug06l&amp;a'!$H$43)/1000</f>
        <v>106.92</v>
      </c>
      <c r="T257" s="13">
        <f>(+'[169]Aug06l&amp;a'!$H$44)/1000</f>
        <v>274.759</v>
      </c>
      <c r="U257" s="49">
        <f>(+'[169]Aug06l&amp;a'!$I$46)/1000</f>
        <v>1398.497</v>
      </c>
      <c r="V257" s="49">
        <f t="shared" si="21"/>
        <v>3547.4049999999997</v>
      </c>
      <c r="W257" s="13">
        <f>(+'[169]Aug06l&amp;a'!$H$49)/1000</f>
        <v>2494.115</v>
      </c>
      <c r="X257" s="13">
        <f>(+'[169]Aug06l&amp;a'!$H$50)/1000</f>
        <v>42.102</v>
      </c>
      <c r="Y257" s="13">
        <f>(+'[169]Aug06l&amp;a'!$H$51)/1000</f>
        <v>1011.188</v>
      </c>
      <c r="Z257" s="49">
        <f>(+'[169]Aug06l&amp;a'!$I$53)/1000</f>
        <v>129.17</v>
      </c>
      <c r="AA257" s="49">
        <f t="shared" si="22"/>
        <v>30729.816</v>
      </c>
      <c r="AB257" s="13">
        <f>(+'[169]Aug06l&amp;a'!$H$56)/1000</f>
        <v>6450.286</v>
      </c>
      <c r="AC257" s="13">
        <f>(+'[169]Aug06l&amp;a'!$H$57)/1000</f>
        <v>1.979</v>
      </c>
      <c r="AD257" s="13">
        <f>(+'[169]Aug06l&amp;a'!$H$58)/1000</f>
        <v>10916.641</v>
      </c>
      <c r="AE257" s="13">
        <f>(+'[169]Aug06l&amp;a'!$H$59)/1000</f>
        <v>13360.91</v>
      </c>
      <c r="AF257" s="49">
        <f>(+'[169]Aug06l&amp;a'!$I$61)/1000</f>
        <v>11164.1</v>
      </c>
      <c r="AG257" s="49">
        <v>0</v>
      </c>
      <c r="AH257" s="49">
        <f>(+'[169]Aug06l&amp;a'!$I$63)/1000</f>
        <v>21784.637</v>
      </c>
      <c r="AI257" s="49">
        <f>(+'[169]Aug06l&amp;a'!$I$65)/1000</f>
        <v>291.407</v>
      </c>
      <c r="AJ257" s="49">
        <f>(+'[169]Aug06l&amp;a'!$I$67)/1000</f>
        <v>7852.221</v>
      </c>
      <c r="AK257" s="49">
        <f>(+'[169]Aug06l&amp;a'!$I$73)/1000</f>
        <v>49660.831</v>
      </c>
      <c r="AL257" s="49">
        <f>(+'[169]Aug06l&amp;a'!$I$77)/1000</f>
        <v>32.53</v>
      </c>
      <c r="AM257" s="14">
        <f t="shared" si="23"/>
        <v>141269.335</v>
      </c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8"/>
      <c r="ED257" s="18"/>
      <c r="EE257" s="18"/>
      <c r="EF257" s="18"/>
      <c r="EG257" s="18"/>
      <c r="EH257" s="18"/>
      <c r="EI257" s="18"/>
      <c r="EJ257" s="18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</row>
    <row r="258" spans="1:159" s="19" customFormat="1" ht="15">
      <c r="A258" s="22">
        <v>38990</v>
      </c>
      <c r="B258" s="49">
        <f t="shared" si="18"/>
        <v>1803.793</v>
      </c>
      <c r="C258" s="13">
        <f>(+'[115]Sep06l&amp;a'!$H$10)/1000</f>
        <v>1373.956</v>
      </c>
      <c r="D258" s="13">
        <f>(+'[170]Sep06l&amp;a'!$H$19)/1000</f>
        <v>116.567</v>
      </c>
      <c r="E258" s="13">
        <f>(+'[170]Sep06l&amp;a'!$H$23)/1000</f>
        <v>313.27</v>
      </c>
      <c r="F258" s="49">
        <f>(+'[170]Sep06l&amp;a'!$I$25)/1000</f>
        <v>628.075</v>
      </c>
      <c r="G258" s="49">
        <f t="shared" si="19"/>
        <v>7221.501</v>
      </c>
      <c r="H258" s="13">
        <f>(+'[170]Sep06l&amp;a'!$H$30)/1000</f>
        <v>316.384</v>
      </c>
      <c r="I258" s="13">
        <f>(+'[170]Sep06l&amp;a'!$H$31+'[170]Sep06l&amp;a'!$H$32)/1000</f>
        <v>3471.887</v>
      </c>
      <c r="J258" s="13">
        <f>(+'[170]Sep06l&amp;a'!$H$33)/1000</f>
        <v>255.109</v>
      </c>
      <c r="K258" s="13">
        <f>(+'[170]Sep06l&amp;a'!$H$34)/1000</f>
        <v>188.255</v>
      </c>
      <c r="L258" s="13">
        <f>(+'[170]Sep06l&amp;a'!$H$35)/1000</f>
        <v>150.429</v>
      </c>
      <c r="M258" s="13">
        <f>(+'[170]Sep06l&amp;a'!$H$36)/1000</f>
        <v>241.436</v>
      </c>
      <c r="N258" s="13">
        <f>(+'[170]Sep06l&amp;a'!$H$37)/1000</f>
        <v>909.734</v>
      </c>
      <c r="O258" s="13">
        <f>(+'[170]Sep06l&amp;a'!$H$38)/1000</f>
        <v>62.961</v>
      </c>
      <c r="P258" s="13">
        <f>(+'[170]Sep06l&amp;a'!$H$39)/1000</f>
        <v>1625.306</v>
      </c>
      <c r="Q258" s="49">
        <f t="shared" si="20"/>
        <v>7105.076999999999</v>
      </c>
      <c r="R258" s="13">
        <f>(+'[170]Sep06l&amp;a'!$H$42)/1000</f>
        <v>6723.861</v>
      </c>
      <c r="S258" s="13">
        <f>(+'[170]Sep06l&amp;a'!$H$43)/1000</f>
        <v>119.004</v>
      </c>
      <c r="T258" s="13">
        <f>(+'[170]Sep06l&amp;a'!$H$44)/1000</f>
        <v>262.212</v>
      </c>
      <c r="U258" s="49">
        <f>(+'[170]Sep06l&amp;a'!$I$46)/1000</f>
        <v>1325.228</v>
      </c>
      <c r="V258" s="49">
        <f t="shared" si="21"/>
        <v>3542.943</v>
      </c>
      <c r="W258" s="13">
        <f>(+'[170]Sep06l&amp;a'!$H$49)/1000</f>
        <v>2495.371</v>
      </c>
      <c r="X258" s="13">
        <f>(+'[170]Sep06l&amp;a'!$H$50)/1000</f>
        <v>46.344</v>
      </c>
      <c r="Y258" s="13">
        <f>(+'[170]Sep06l&amp;a'!$H$51)/1000</f>
        <v>1001.228</v>
      </c>
      <c r="Z258" s="49">
        <f>(+'[170]Sep06l&amp;a'!$I$53)/1000</f>
        <v>133.124</v>
      </c>
      <c r="AA258" s="49">
        <f t="shared" si="22"/>
        <v>29030.829</v>
      </c>
      <c r="AB258" s="13">
        <f>(+'[170]Sep06l&amp;a'!$H$56)/1000</f>
        <v>5945.814</v>
      </c>
      <c r="AC258" s="13">
        <f>(+'[170]Sep06l&amp;a'!$H$57)/1000</f>
        <v>3.53</v>
      </c>
      <c r="AD258" s="13">
        <f>(+'[170]Sep06l&amp;a'!$H$58)/1000</f>
        <v>10999.77</v>
      </c>
      <c r="AE258" s="13">
        <f>(+'[170]Sep06l&amp;a'!$H$59)/1000</f>
        <v>12081.715</v>
      </c>
      <c r="AF258" s="49">
        <f>(+'[170]Sep06l&amp;a'!$I$61)/1000</f>
        <v>10300.546</v>
      </c>
      <c r="AG258" s="49">
        <v>0</v>
      </c>
      <c r="AH258" s="49">
        <f>(+'[170]Sep06l&amp;a'!$I$63)/1000</f>
        <v>22098.996</v>
      </c>
      <c r="AI258" s="49">
        <f>(+'[170]Sep06l&amp;a'!$I$65)/1000</f>
        <v>316.517</v>
      </c>
      <c r="AJ258" s="49">
        <f>(+'[170]Sep06l&amp;a'!$I$67)/1000</f>
        <v>8103.72</v>
      </c>
      <c r="AK258" s="49">
        <f>(+'[170]Sep06l&amp;a'!$I$73)/1000</f>
        <v>51757.052</v>
      </c>
      <c r="AL258" s="49">
        <f>(+'[170]Sep06l&amp;a'!$I$77)/1000</f>
        <v>32.814</v>
      </c>
      <c r="AM258" s="14">
        <f t="shared" si="23"/>
        <v>143400.21500000003</v>
      </c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8"/>
      <c r="ED258" s="18"/>
      <c r="EE258" s="18"/>
      <c r="EF258" s="18"/>
      <c r="EG258" s="18"/>
      <c r="EH258" s="18"/>
      <c r="EI258" s="18"/>
      <c r="EJ258" s="18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</row>
    <row r="259" spans="1:159" s="19" customFormat="1" ht="15">
      <c r="A259" s="22">
        <v>39021</v>
      </c>
      <c r="B259" s="49">
        <f t="shared" si="18"/>
        <v>1798.5</v>
      </c>
      <c r="C259" s="13">
        <f>(+'[116]Oct06l&amp;a'!$H$10)/1000</f>
        <v>1372.764</v>
      </c>
      <c r="D259" s="13">
        <f>(+'[171]Oct06l&amp;a'!$H$19)/1000</f>
        <v>110.766</v>
      </c>
      <c r="E259" s="13">
        <f>(+'[171]Oct06l&amp;a'!$H$23)/1000</f>
        <v>314.97</v>
      </c>
      <c r="F259" s="49">
        <f>(+'[171]Oct06l&amp;a'!$I$25)/1000</f>
        <v>632.245</v>
      </c>
      <c r="G259" s="49">
        <f t="shared" si="19"/>
        <v>7275.131000000001</v>
      </c>
      <c r="H259" s="13">
        <f>(+'[171]Oct06l&amp;a'!$H$30)/1000</f>
        <v>313.711</v>
      </c>
      <c r="I259" s="13">
        <f>(+'[171]Oct06l&amp;a'!$H$31+'[171]Oct06l&amp;a'!$H$32)/1000</f>
        <v>3521.086</v>
      </c>
      <c r="J259" s="13">
        <f>(+'[171]Oct06l&amp;a'!$H$33)/1000</f>
        <v>262.522</v>
      </c>
      <c r="K259" s="13">
        <f>(+'[171]Oct06l&amp;a'!$H$34)/1000</f>
        <v>200.635</v>
      </c>
      <c r="L259" s="13">
        <f>(+'[171]Oct06l&amp;a'!$H$35)/1000</f>
        <v>162.77</v>
      </c>
      <c r="M259" s="13">
        <f>(+'[171]Oct06l&amp;a'!$H$36)/1000</f>
        <v>235.042</v>
      </c>
      <c r="N259" s="13">
        <f>(+'[171]Oct06l&amp;a'!$H$37)/1000</f>
        <v>957.604</v>
      </c>
      <c r="O259" s="13">
        <f>(+'[171]Oct06l&amp;a'!$H$38)/1000</f>
        <v>65.251</v>
      </c>
      <c r="P259" s="13">
        <f>(+'[171]Oct06l&amp;a'!$H$39)/1000</f>
        <v>1556.51</v>
      </c>
      <c r="Q259" s="49">
        <f t="shared" si="20"/>
        <v>7343.656</v>
      </c>
      <c r="R259" s="13">
        <f>(+'[171]Oct06l&amp;a'!$H$42)/1000</f>
        <v>6967.8</v>
      </c>
      <c r="S259" s="13">
        <f>(+'[171]Oct06l&amp;a'!$H$43)/1000</f>
        <v>116.188</v>
      </c>
      <c r="T259" s="13">
        <f>(+'[171]Oct06l&amp;a'!$H$44)/1000</f>
        <v>259.668</v>
      </c>
      <c r="U259" s="49">
        <f>(+'[171]Oct06l&amp;a'!$I$46)/1000</f>
        <v>1315.045</v>
      </c>
      <c r="V259" s="49">
        <f t="shared" si="21"/>
        <v>3586.779</v>
      </c>
      <c r="W259" s="13">
        <f>(+'[171]Oct06l&amp;a'!$H$49)/1000</f>
        <v>2527.257</v>
      </c>
      <c r="X259" s="13">
        <f>(+'[171]Oct06l&amp;a'!$H$50)/1000</f>
        <v>44.094</v>
      </c>
      <c r="Y259" s="13">
        <f>(+'[171]Oct06l&amp;a'!$H$51)/1000</f>
        <v>1015.428</v>
      </c>
      <c r="Z259" s="49">
        <f>(+'[171]Oct06l&amp;a'!$I$53)/1000</f>
        <v>115.389</v>
      </c>
      <c r="AA259" s="49">
        <f t="shared" si="22"/>
        <v>27165.845999999998</v>
      </c>
      <c r="AB259" s="13">
        <f>(+'[171]Oct06l&amp;a'!$H$56)/1000</f>
        <v>6040.221</v>
      </c>
      <c r="AC259" s="13">
        <f>(+'[171]Oct06l&amp;a'!$H$57)/1000</f>
        <v>0.92</v>
      </c>
      <c r="AD259" s="13">
        <f>(+'[171]Oct06l&amp;a'!$H$58)/1000</f>
        <v>9689.868</v>
      </c>
      <c r="AE259" s="13">
        <f>(+'[171]Oct06l&amp;a'!$H$59)/1000</f>
        <v>11434.837</v>
      </c>
      <c r="AF259" s="49">
        <f>(+'[171]Oct06l&amp;a'!$I$61)/1000</f>
        <v>10003.616</v>
      </c>
      <c r="AG259" s="49">
        <v>0</v>
      </c>
      <c r="AH259" s="49">
        <f>(+'[171]Oct06l&amp;a'!$I$63)/1000</f>
        <v>22542.899</v>
      </c>
      <c r="AI259" s="49">
        <f>(+'[171]Oct06l&amp;a'!$I$65)/1000</f>
        <v>304.53</v>
      </c>
      <c r="AJ259" s="49">
        <f>(+'[171]Oct06l&amp;a'!$I$67)/1000</f>
        <v>7958.618</v>
      </c>
      <c r="AK259" s="49">
        <f>(+'[171]Oct06l&amp;a'!$I$73)/1000</f>
        <v>52820.464</v>
      </c>
      <c r="AL259" s="49">
        <f>(+'[171]Oct06l&amp;a'!$I$77)/1000</f>
        <v>37.583</v>
      </c>
      <c r="AM259" s="14">
        <f t="shared" si="23"/>
        <v>142900.301</v>
      </c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8"/>
      <c r="ED259" s="18"/>
      <c r="EE259" s="18"/>
      <c r="EF259" s="18"/>
      <c r="EG259" s="18"/>
      <c r="EH259" s="18"/>
      <c r="EI259" s="18"/>
      <c r="EJ259" s="18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</row>
    <row r="260" spans="1:159" s="19" customFormat="1" ht="15">
      <c r="A260" s="22">
        <v>39051</v>
      </c>
      <c r="B260" s="49">
        <f t="shared" si="18"/>
        <v>2297.319</v>
      </c>
      <c r="C260" s="13">
        <f>(+'[117]Nov06l&amp;a'!$H$10)/1000</f>
        <v>1839.745</v>
      </c>
      <c r="D260" s="13">
        <f>(+'[172]Nov06l&amp;a'!$H$19)/1000</f>
        <v>140.806</v>
      </c>
      <c r="E260" s="13">
        <f>(+'[172]Nov06l&amp;a'!$H$23)/1000</f>
        <v>316.768</v>
      </c>
      <c r="F260" s="49">
        <f>(+'[172]Nov06l&amp;a'!$I$25)/1000</f>
        <v>634.901</v>
      </c>
      <c r="G260" s="49">
        <f t="shared" si="19"/>
        <v>5719.307999999999</v>
      </c>
      <c r="H260" s="13">
        <f>(+'[172]Nov06l&amp;a'!$H$30)/1000</f>
        <v>311.753</v>
      </c>
      <c r="I260" s="13">
        <f>(+'[172]Nov06l&amp;a'!$H$31+'[172]Nov06l&amp;a'!$H$32)/1000</f>
        <v>1876.263</v>
      </c>
      <c r="J260" s="13">
        <f>(+'[172]Nov06l&amp;a'!$H$33)/1000</f>
        <v>279.594</v>
      </c>
      <c r="K260" s="13">
        <f>(+'[172]Nov06l&amp;a'!$H$34)/1000</f>
        <v>195.899</v>
      </c>
      <c r="L260" s="13">
        <f>(+'[172]Nov06l&amp;a'!$H$35)/1000</f>
        <v>151.745</v>
      </c>
      <c r="M260" s="13">
        <f>(+'[172]Nov06l&amp;a'!$H$36)/1000</f>
        <v>264.347</v>
      </c>
      <c r="N260" s="13">
        <f>(+'[172]Nov06l&amp;a'!$H$37)/1000</f>
        <v>915.073</v>
      </c>
      <c r="O260" s="13">
        <f>(+'[172]Nov06l&amp;a'!$H$38)/1000</f>
        <v>66.623</v>
      </c>
      <c r="P260" s="13">
        <f>(+'[172]Nov06l&amp;a'!$H$39)/1000</f>
        <v>1658.011</v>
      </c>
      <c r="Q260" s="49">
        <f t="shared" si="20"/>
        <v>7666.750000000001</v>
      </c>
      <c r="R260" s="13">
        <f>(+'[172]Nov06l&amp;a'!$H$42)/1000</f>
        <v>7282.412</v>
      </c>
      <c r="S260" s="13">
        <f>(+'[172]Nov06l&amp;a'!$H$43)/1000</f>
        <v>126.444</v>
      </c>
      <c r="T260" s="13">
        <f>(+'[172]Nov06l&amp;a'!$H$44)/1000</f>
        <v>257.894</v>
      </c>
      <c r="U260" s="49">
        <f>(+'[172]Nov06l&amp;a'!$I$46)/1000</f>
        <v>1346.776</v>
      </c>
      <c r="V260" s="49">
        <f t="shared" si="21"/>
        <v>3597.725</v>
      </c>
      <c r="W260" s="13">
        <f>(+'[172]Nov06l&amp;a'!$H$49)/1000</f>
        <v>2546.374</v>
      </c>
      <c r="X260" s="13">
        <f>(+'[172]Nov06l&amp;a'!$H$50)/1000</f>
        <v>39.755</v>
      </c>
      <c r="Y260" s="13">
        <f>(+'[172]Nov06l&amp;a'!$H$51)/1000</f>
        <v>1011.596</v>
      </c>
      <c r="Z260" s="49">
        <f>(+'[172]Nov06l&amp;a'!$I$53)/1000</f>
        <v>190.588</v>
      </c>
      <c r="AA260" s="49">
        <f t="shared" si="22"/>
        <v>28327.413999999997</v>
      </c>
      <c r="AB260" s="13">
        <f>(+'[172]Nov06l&amp;a'!$H$56)/1000</f>
        <v>6047.222</v>
      </c>
      <c r="AC260" s="13">
        <f>(+'[172]Nov06l&amp;a'!$H$57)/1000</f>
        <v>6.942</v>
      </c>
      <c r="AD260" s="13">
        <f>(+'[172]Nov06l&amp;a'!$H$58)/1000</f>
        <v>10163.008</v>
      </c>
      <c r="AE260" s="13">
        <f>(+'[172]Nov06l&amp;a'!$H$59)/1000</f>
        <v>12110.242</v>
      </c>
      <c r="AF260" s="49">
        <f>(+'[172]Nov06l&amp;a'!$I$61)/1000</f>
        <v>11178.681</v>
      </c>
      <c r="AG260" s="49">
        <v>0</v>
      </c>
      <c r="AH260" s="49">
        <f>(+'[172]Nov06l&amp;a'!$I$63)/1000</f>
        <v>24018.207</v>
      </c>
      <c r="AI260" s="49">
        <f>(+'[172]Nov06l&amp;a'!$I$65)/1000</f>
        <v>377.588</v>
      </c>
      <c r="AJ260" s="49">
        <f>(+'[172]Nov06l&amp;a'!$I$67)/1000</f>
        <v>8315.049</v>
      </c>
      <c r="AK260" s="49">
        <f>(+'[172]Nov06l&amp;a'!$I$73)/1000</f>
        <v>54241.936</v>
      </c>
      <c r="AL260" s="49">
        <f>(+'[172]Nov06l&amp;a'!$I$77)/1000</f>
        <v>36.679</v>
      </c>
      <c r="AM260" s="14">
        <f t="shared" si="23"/>
        <v>147948.921</v>
      </c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8"/>
      <c r="ED260" s="18"/>
      <c r="EE260" s="18"/>
      <c r="EF260" s="18"/>
      <c r="EG260" s="18"/>
      <c r="EH260" s="18"/>
      <c r="EI260" s="18"/>
      <c r="EJ260" s="18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</row>
    <row r="261" spans="1:159" s="19" customFormat="1" ht="15">
      <c r="A261" s="22">
        <v>39082</v>
      </c>
      <c r="B261" s="49">
        <f t="shared" si="18"/>
        <v>2298.384</v>
      </c>
      <c r="C261" s="13">
        <f>(+'[118]Dec06l&amp;a'!$H$10)/1000</f>
        <v>1836.524</v>
      </c>
      <c r="D261" s="13">
        <f>(+'[173]Dec06l&amp;a'!$H$19)/1000</f>
        <v>144.781</v>
      </c>
      <c r="E261" s="13">
        <f>(+'[173]Dec06l&amp;a'!$H$23)/1000</f>
        <v>317.079</v>
      </c>
      <c r="F261" s="49">
        <f>(+'[173]Dec06l&amp;a'!$I$25)/1000</f>
        <v>643.469</v>
      </c>
      <c r="G261" s="49">
        <f t="shared" si="19"/>
        <v>7534.560999999999</v>
      </c>
      <c r="H261" s="13">
        <f>(+'[173]Dec06l&amp;a'!$H$30)/1000</f>
        <v>285.618</v>
      </c>
      <c r="I261" s="13">
        <f>(+'[173]Dec06l&amp;a'!$H$31+'[173]Dec06l&amp;a'!$H$32)/1000</f>
        <v>3538.995</v>
      </c>
      <c r="J261" s="13">
        <f>(+'[173]Dec06l&amp;a'!$H$33)/1000</f>
        <v>268.972</v>
      </c>
      <c r="K261" s="13">
        <f>(+'[173]Dec06l&amp;a'!$H$34)/1000</f>
        <v>188.159</v>
      </c>
      <c r="L261" s="13">
        <f>(+'[173]Dec06l&amp;a'!$H$35)/1000</f>
        <v>130.708</v>
      </c>
      <c r="M261" s="13">
        <f>(+'[173]Dec06l&amp;a'!$H$36)/1000</f>
        <v>271.784</v>
      </c>
      <c r="N261" s="13">
        <f>(+'[173]Dec06l&amp;a'!$H$37)/1000</f>
        <v>869.018</v>
      </c>
      <c r="O261" s="13">
        <f>(+'[173]Dec06l&amp;a'!$H$38)/1000</f>
        <v>70.45</v>
      </c>
      <c r="P261" s="13">
        <f>(+'[173]Dec06l&amp;a'!$H$39)/1000</f>
        <v>1910.857</v>
      </c>
      <c r="Q261" s="49">
        <f t="shared" si="20"/>
        <v>8045.536999999999</v>
      </c>
      <c r="R261" s="13">
        <f>(+'[173]Dec06l&amp;a'!$H$42)/1000</f>
        <v>7586.534</v>
      </c>
      <c r="S261" s="13">
        <f>(+'[173]Dec06l&amp;a'!$H$43)/1000</f>
        <v>204.38</v>
      </c>
      <c r="T261" s="13">
        <f>(+'[173]Dec06l&amp;a'!$H$44)/1000</f>
        <v>254.623</v>
      </c>
      <c r="U261" s="49">
        <f>(+'[173]Dec06l&amp;a'!$I$46)/1000</f>
        <v>1425.759</v>
      </c>
      <c r="V261" s="49">
        <f t="shared" si="21"/>
        <v>3705.752</v>
      </c>
      <c r="W261" s="13">
        <f>(+'[173]Dec06l&amp;a'!$H$49)/1000</f>
        <v>2647.328</v>
      </c>
      <c r="X261" s="13">
        <f>(+'[173]Dec06l&amp;a'!$H$50)/1000</f>
        <v>38.498</v>
      </c>
      <c r="Y261" s="13">
        <f>(+'[173]Dec06l&amp;a'!$H$51)/1000</f>
        <v>1019.926</v>
      </c>
      <c r="Z261" s="49">
        <f>(+'[173]Dec06l&amp;a'!$I$53)/1000</f>
        <v>190.098</v>
      </c>
      <c r="AA261" s="49">
        <f t="shared" si="22"/>
        <v>27936.979</v>
      </c>
      <c r="AB261" s="13">
        <f>(+'[173]Dec06l&amp;a'!$H$56)/1000</f>
        <v>5934.608</v>
      </c>
      <c r="AC261" s="13">
        <f>(+'[173]Dec06l&amp;a'!$H$57)/1000</f>
        <v>0.941</v>
      </c>
      <c r="AD261" s="13">
        <f>(+'[173]Dec06l&amp;a'!$H$58)/1000</f>
        <v>10223.061</v>
      </c>
      <c r="AE261" s="13">
        <f>(+'[173]Dec06l&amp;a'!$H$59)/1000</f>
        <v>11778.369</v>
      </c>
      <c r="AF261" s="49">
        <f>(+'[173]Dec06l&amp;a'!$I$61)/1000</f>
        <v>11900.443</v>
      </c>
      <c r="AG261" s="49">
        <v>0</v>
      </c>
      <c r="AH261" s="49">
        <f>(+'[173]Dec06l&amp;a'!$I$63)/1000</f>
        <v>24282.298</v>
      </c>
      <c r="AI261" s="49">
        <f>(+'[173]Dec06l&amp;a'!$I$65)/1000</f>
        <v>291.237</v>
      </c>
      <c r="AJ261" s="49">
        <f>(+'[173]Dec06l&amp;a'!$I$67)/1000</f>
        <v>9237.159</v>
      </c>
      <c r="AK261" s="49">
        <f>(+'[173]Dec06l&amp;a'!$I$73)/1000</f>
        <v>55921.595</v>
      </c>
      <c r="AL261" s="49">
        <f>(+'[173]Dec06l&amp;a'!$I$77)/1000</f>
        <v>35.896</v>
      </c>
      <c r="AM261" s="14">
        <f t="shared" si="23"/>
        <v>153449.16700000002</v>
      </c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8"/>
      <c r="ED261" s="18"/>
      <c r="EE261" s="18"/>
      <c r="EF261" s="18"/>
      <c r="EG261" s="18"/>
      <c r="EH261" s="18"/>
      <c r="EI261" s="18"/>
      <c r="EJ261" s="18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</row>
    <row r="262" spans="1:159" s="19" customFormat="1" ht="15">
      <c r="A262" s="22">
        <v>39113</v>
      </c>
      <c r="B262" s="49">
        <f t="shared" si="18"/>
        <v>1982.695</v>
      </c>
      <c r="C262" s="13">
        <f>(+'[119]Jan07loa'!$H$10)/1000</f>
        <v>1532.163</v>
      </c>
      <c r="D262" s="13">
        <f>(+'[174]Jan07loa'!$H$19)/1000</f>
        <v>131.377</v>
      </c>
      <c r="E262" s="13">
        <f>(+'[174]Jan07loa'!$H$23)/1000</f>
        <v>319.155</v>
      </c>
      <c r="F262" s="49">
        <f>(+'[174]Jan07loa'!$I$25)/1000</f>
        <v>622.673</v>
      </c>
      <c r="G262" s="49">
        <f t="shared" si="19"/>
        <v>5682.9890000000005</v>
      </c>
      <c r="H262" s="13">
        <f>(+'[174]Jan07loa'!$H$30)/1000</f>
        <v>275.095</v>
      </c>
      <c r="I262" s="13">
        <f>(+'[174]Jan07loa'!$H$31+'[174]Jan07loa'!$H$32)/1000</f>
        <v>1883.379</v>
      </c>
      <c r="J262" s="13">
        <f>(+'[174]Jan07loa'!$H$33)/1000</f>
        <v>274.117</v>
      </c>
      <c r="K262" s="13">
        <f>(+'[174]Jan07loa'!$H$34)/1000</f>
        <v>182.913</v>
      </c>
      <c r="L262" s="13">
        <f>(+'[174]Jan07loa'!$H$35)/1000</f>
        <v>140.464</v>
      </c>
      <c r="M262" s="13">
        <f>(+'[174]Jan07loa'!$H$36)/1000</f>
        <v>268.341</v>
      </c>
      <c r="N262" s="13">
        <f>(+'[174]Jan07loa'!$H$37)/1000</f>
        <v>884.912</v>
      </c>
      <c r="O262" s="13">
        <f>(+'[174]Jan07loa'!$H$38)/1000</f>
        <v>57.573</v>
      </c>
      <c r="P262" s="13">
        <f>(+'[174]Jan07loa'!$H$39)/1000</f>
        <v>1716.195</v>
      </c>
      <c r="Q262" s="49">
        <f t="shared" si="20"/>
        <v>8358.216</v>
      </c>
      <c r="R262" s="13">
        <f>(+'[174]Jan07loa'!$H$42)/1000</f>
        <v>7911.698</v>
      </c>
      <c r="S262" s="13">
        <f>(+'[174]Jan07loa'!$H$43)/1000</f>
        <v>194.375</v>
      </c>
      <c r="T262" s="13">
        <f>(+'[174]Jan07loa'!$H$44)/1000</f>
        <v>252.143</v>
      </c>
      <c r="U262" s="49">
        <f>(+'[174]Jan07loa'!$I$46)/1000</f>
        <v>1320.913</v>
      </c>
      <c r="V262" s="49">
        <f t="shared" si="21"/>
        <v>3949.013</v>
      </c>
      <c r="W262" s="13">
        <f>(+'[174]Jan07loa'!$H$49)/1000</f>
        <v>2881.269</v>
      </c>
      <c r="X262" s="13">
        <f>(+'[174]Jan07loa'!$H$50)/1000</f>
        <v>30.559</v>
      </c>
      <c r="Y262" s="13">
        <f>(+'[174]Jan07loa'!$H$51)/1000</f>
        <v>1037.185</v>
      </c>
      <c r="Z262" s="49">
        <f>(+'[174]Jan07loa'!$I$53)/1000</f>
        <v>134.013</v>
      </c>
      <c r="AA262" s="49">
        <f t="shared" si="22"/>
        <v>27346.802</v>
      </c>
      <c r="AB262" s="13">
        <f>(+'[174]Jan07loa'!$H$56)/1000</f>
        <v>5301.375</v>
      </c>
      <c r="AC262" s="13">
        <f>(+'[174]Jan07loa'!$H$57)/1000</f>
        <v>2.652</v>
      </c>
      <c r="AD262" s="13">
        <f>(+'[174]Jan07loa'!$H$58)/1000</f>
        <v>9364.393</v>
      </c>
      <c r="AE262" s="13">
        <f>(+'[174]Jan07loa'!$H$59)/1000</f>
        <v>12678.382</v>
      </c>
      <c r="AF262" s="49">
        <f>(+'[174]Jan07loa'!$I$61)/1000</f>
        <v>17246.894</v>
      </c>
      <c r="AG262" s="49">
        <v>0</v>
      </c>
      <c r="AH262" s="49">
        <f>(+'[174]Jan07loa'!$I$63)/1000</f>
        <v>24297.641</v>
      </c>
      <c r="AI262" s="49">
        <f>(+'[174]Jan07loa'!$I$65)/1000</f>
        <v>277.732</v>
      </c>
      <c r="AJ262" s="49">
        <f>(+'[174]Jan07loa'!$I$67)/1000</f>
        <v>9007.468</v>
      </c>
      <c r="AK262" s="49">
        <f>(+'[174]Jan07loa'!$I$73)/1000</f>
        <v>56326.478</v>
      </c>
      <c r="AL262" s="49">
        <f>(+'[174]Jan07loa'!$I$77)/1000</f>
        <v>31.838</v>
      </c>
      <c r="AM262" s="14">
        <f t="shared" si="23"/>
        <v>156585.365</v>
      </c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8"/>
      <c r="ED262" s="18"/>
      <c r="EE262" s="18"/>
      <c r="EF262" s="18"/>
      <c r="EG262" s="18"/>
      <c r="EH262" s="18"/>
      <c r="EI262" s="18"/>
      <c r="EJ262" s="18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</row>
    <row r="263" spans="1:159" s="19" customFormat="1" ht="15">
      <c r="A263" s="22">
        <v>39141</v>
      </c>
      <c r="B263" s="49">
        <f t="shared" si="18"/>
        <v>2501.28</v>
      </c>
      <c r="C263" s="13">
        <f>(+'[120]Feb07l&amp;a'!$H$10)/1000</f>
        <v>1939.381</v>
      </c>
      <c r="D263" s="13">
        <f>(+'[175]Feb07l&amp;a'!$H$19)/1000</f>
        <v>133.253</v>
      </c>
      <c r="E263" s="13">
        <f>(+'[175]Feb07l&amp;a'!$H$23)/1000</f>
        <v>428.646</v>
      </c>
      <c r="F263" s="49">
        <f>(+'[175]Feb07l&amp;a'!$I$25)/1000</f>
        <v>616.76</v>
      </c>
      <c r="G263" s="49">
        <f t="shared" si="19"/>
        <v>6042.401</v>
      </c>
      <c r="H263" s="13">
        <f>(+'[175]Feb07l&amp;a'!$H$30)/1000</f>
        <v>265.671</v>
      </c>
      <c r="I263" s="13">
        <f>(+'[175]Feb07l&amp;a'!$H$31+'[175]Feb07l&amp;a'!$H$32)/1000</f>
        <v>1833.683</v>
      </c>
      <c r="J263" s="13">
        <f>(+'[175]Feb07l&amp;a'!$H$33)/1000</f>
        <v>284.609</v>
      </c>
      <c r="K263" s="13">
        <f>(+'[175]Feb07l&amp;a'!$H$34)/1000</f>
        <v>170.063</v>
      </c>
      <c r="L263" s="13">
        <f>(+'[175]Feb07l&amp;a'!$H$35)/1000</f>
        <v>138.101</v>
      </c>
      <c r="M263" s="13">
        <f>(+'[175]Feb07l&amp;a'!$H$36)/1000</f>
        <v>274.977</v>
      </c>
      <c r="N263" s="13">
        <f>(+'[175]Feb07l&amp;a'!$H$37)/1000</f>
        <v>1261.422</v>
      </c>
      <c r="O263" s="13">
        <f>(+'[175]Feb07l&amp;a'!$H$38)/1000</f>
        <v>60.429</v>
      </c>
      <c r="P263" s="13">
        <f>(+'[175]Feb07l&amp;a'!$H$39)/1000</f>
        <v>1753.446</v>
      </c>
      <c r="Q263" s="49">
        <f t="shared" si="20"/>
        <v>8579.737</v>
      </c>
      <c r="R263" s="13">
        <f>(+'[175]Feb07l&amp;a'!$H$42)/1000</f>
        <v>8072.19</v>
      </c>
      <c r="S263" s="13">
        <f>(+'[175]Feb07l&amp;a'!$H$43)/1000</f>
        <v>257.523</v>
      </c>
      <c r="T263" s="13">
        <f>(+'[175]Feb07l&amp;a'!$H$44)/1000</f>
        <v>250.024</v>
      </c>
      <c r="U263" s="49">
        <f>(+'[175]Feb07l&amp;a'!$I$46)/1000</f>
        <v>1328.092</v>
      </c>
      <c r="V263" s="49">
        <f t="shared" si="21"/>
        <v>3984.8020000000006</v>
      </c>
      <c r="W263" s="13">
        <f>(+'[175]Feb07l&amp;a'!$H$49)/1000</f>
        <v>2890.742</v>
      </c>
      <c r="X263" s="13">
        <f>(+'[175]Feb07l&amp;a'!$H$50)/1000</f>
        <v>33.929</v>
      </c>
      <c r="Y263" s="13">
        <f>(+'[175]Feb07l&amp;a'!$H$51)/1000</f>
        <v>1060.131</v>
      </c>
      <c r="Z263" s="49">
        <f>(+'[175]Feb07l&amp;a'!$I$53)/1000</f>
        <v>112.372</v>
      </c>
      <c r="AA263" s="49">
        <f t="shared" si="22"/>
        <v>29505.856</v>
      </c>
      <c r="AB263" s="13">
        <f>(+'[175]Feb07l&amp;a'!$H$56)/1000</f>
        <v>5579.46</v>
      </c>
      <c r="AC263" s="13">
        <f>(+'[175]Feb07l&amp;a'!$H$57)/1000</f>
        <v>0.223</v>
      </c>
      <c r="AD263" s="13">
        <f>(+'[175]Feb07l&amp;a'!$H$58)/1000</f>
        <v>11090.681</v>
      </c>
      <c r="AE263" s="13">
        <f>(+'[175]Feb07l&amp;a'!$H$59)/1000</f>
        <v>12835.492</v>
      </c>
      <c r="AF263" s="49">
        <f>(+'[175]Feb07l&amp;a'!$I$61)/1000</f>
        <v>17280.266</v>
      </c>
      <c r="AG263" s="49">
        <v>0</v>
      </c>
      <c r="AH263" s="49">
        <f>(+'[175]Feb07l&amp;a'!$I$63)/1000</f>
        <v>24294.683</v>
      </c>
      <c r="AI263" s="49">
        <f>(+'[175]Feb07l&amp;a'!$I$65)/1000</f>
        <v>290.518</v>
      </c>
      <c r="AJ263" s="49">
        <f>(+'[175]Feb07l&amp;a'!$I$67)/1000</f>
        <v>9325.986</v>
      </c>
      <c r="AK263" s="49">
        <f>(+'[175]Feb07l&amp;a'!$I$73)/1000</f>
        <v>57484.621</v>
      </c>
      <c r="AL263" s="49">
        <f>(+'[175]Feb07l&amp;a'!$I$77)/1000</f>
        <v>30.435</v>
      </c>
      <c r="AM263" s="14">
        <f t="shared" si="23"/>
        <v>161377.809</v>
      </c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8"/>
      <c r="ED263" s="18"/>
      <c r="EE263" s="18"/>
      <c r="EF263" s="18"/>
      <c r="EG263" s="18"/>
      <c r="EH263" s="18"/>
      <c r="EI263" s="18"/>
      <c r="EJ263" s="18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</row>
    <row r="264" spans="1:159" s="19" customFormat="1" ht="15">
      <c r="A264" s="22">
        <v>39172</v>
      </c>
      <c r="B264" s="49">
        <f t="shared" si="18"/>
        <v>2660.021</v>
      </c>
      <c r="C264" s="13">
        <f>(+'[121]Mar07l&amp;a'!$H$10)/1000</f>
        <v>2105.878</v>
      </c>
      <c r="D264" s="13">
        <f>(+'[176]Mar07l&amp;a'!$H$19)/1000</f>
        <v>125.332</v>
      </c>
      <c r="E264" s="13">
        <f>(+'[176]Mar07l&amp;a'!$H$23)/1000</f>
        <v>428.811</v>
      </c>
      <c r="F264" s="49">
        <f>(+'[176]Mar07l&amp;a'!$I$25)/1000</f>
        <v>602.846</v>
      </c>
      <c r="G264" s="49">
        <f t="shared" si="19"/>
        <v>5963.415</v>
      </c>
      <c r="H264" s="13">
        <f>(+'[176]Mar07l&amp;a'!$H$30)/1000</f>
        <v>257.572</v>
      </c>
      <c r="I264" s="13">
        <f>(+'[176]Mar07l&amp;a'!$H$31+'[176]Mar07l&amp;a'!$H$32)/1000</f>
        <v>1936.661</v>
      </c>
      <c r="J264" s="13">
        <f>(+'[176]Mar07l&amp;a'!$H$33)/1000</f>
        <v>270.916</v>
      </c>
      <c r="K264" s="13">
        <f>(+'[176]Mar07l&amp;a'!$H$34)/1000</f>
        <v>174.981</v>
      </c>
      <c r="L264" s="13">
        <f>(+'[176]Mar07l&amp;a'!$H$35)/1000</f>
        <v>128.939</v>
      </c>
      <c r="M264" s="13">
        <f>(+'[176]Mar07l&amp;a'!$H$36)/1000</f>
        <v>271.689</v>
      </c>
      <c r="N264" s="13">
        <f>(+'[176]Mar07l&amp;a'!$H$37)/1000</f>
        <v>1168.95</v>
      </c>
      <c r="O264" s="13">
        <f>(+'[176]Mar07l&amp;a'!$H$38)/1000</f>
        <v>58.01</v>
      </c>
      <c r="P264" s="13">
        <f>(+'[176]Mar07l&amp;a'!$H$39)/1000</f>
        <v>1695.697</v>
      </c>
      <c r="Q264" s="49">
        <f t="shared" si="20"/>
        <v>9337.782</v>
      </c>
      <c r="R264" s="13">
        <f>(+'[176]Mar07l&amp;a'!$H$42)/1000</f>
        <v>8798.355</v>
      </c>
      <c r="S264" s="13">
        <f>(+'[176]Mar07l&amp;a'!$H$43)/1000</f>
        <v>291.249</v>
      </c>
      <c r="T264" s="13">
        <f>(+'[176]Mar07l&amp;a'!$H$44)/1000</f>
        <v>248.178</v>
      </c>
      <c r="U264" s="49">
        <f>(+'[176]Mar07l&amp;a'!$I$46)/1000</f>
        <v>892.78</v>
      </c>
      <c r="V264" s="49">
        <f t="shared" si="21"/>
        <v>4899.648</v>
      </c>
      <c r="W264" s="13">
        <f>(+'[176]Mar07l&amp;a'!$H$49)/1000</f>
        <v>3071.058</v>
      </c>
      <c r="X264" s="13">
        <f>(+'[176]Mar07l&amp;a'!$H$50)/1000</f>
        <v>43.69</v>
      </c>
      <c r="Y264" s="13">
        <f>(+'[176]Mar07l&amp;a'!$H$51)/1000</f>
        <v>1784.9</v>
      </c>
      <c r="Z264" s="49">
        <f>(+'[176]Mar07l&amp;a'!$I$53)/1000</f>
        <v>123.679</v>
      </c>
      <c r="AA264" s="49">
        <f t="shared" si="22"/>
        <v>30479.531000000003</v>
      </c>
      <c r="AB264" s="13">
        <f>(+'[176]Mar07l&amp;a'!$H$56)/1000</f>
        <v>5197.035</v>
      </c>
      <c r="AC264" s="13">
        <f>(+'[176]Mar07l&amp;a'!$H$57)/1000</f>
        <v>0.977</v>
      </c>
      <c r="AD264" s="13">
        <f>(+'[176]Mar07l&amp;a'!$H$58)/1000</f>
        <v>11457.261</v>
      </c>
      <c r="AE264" s="13">
        <f>(+'[176]Mar07l&amp;a'!$H$59)/1000</f>
        <v>13824.258</v>
      </c>
      <c r="AF264" s="49">
        <f>(+'[176]Mar07l&amp;a'!$I$61)/1000</f>
        <v>16358.611</v>
      </c>
      <c r="AG264" s="49">
        <v>0</v>
      </c>
      <c r="AH264" s="49">
        <f>(+'[176]Mar07l&amp;a'!$I$63)/1000</f>
        <v>24010.618</v>
      </c>
      <c r="AI264" s="49">
        <f>(+'[176]Mar07l&amp;a'!$I$65)/1000</f>
        <v>284.025</v>
      </c>
      <c r="AJ264" s="49">
        <f>(+'[176]Mar07l&amp;a'!$I$67)/1000</f>
        <v>9745.7</v>
      </c>
      <c r="AK264" s="49">
        <f>(+'[176]Mar07l&amp;a'!$I$73)/1000</f>
        <v>58719.613</v>
      </c>
      <c r="AL264" s="49">
        <f>(+'[176]Mar07l&amp;a'!$I$77)/1000</f>
        <v>27.806</v>
      </c>
      <c r="AM264" s="14">
        <f t="shared" si="23"/>
        <v>164106.075</v>
      </c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8"/>
      <c r="ED264" s="18"/>
      <c r="EE264" s="18"/>
      <c r="EF264" s="18"/>
      <c r="EG264" s="18"/>
      <c r="EH264" s="18"/>
      <c r="EI264" s="18"/>
      <c r="EJ264" s="18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</row>
    <row r="265" spans="1:159" s="19" customFormat="1" ht="15">
      <c r="A265" s="22">
        <v>39202</v>
      </c>
      <c r="B265" s="49">
        <f t="shared" si="18"/>
        <v>2495.871</v>
      </c>
      <c r="C265" s="13">
        <f>(+'[177]Apr07l&amp;a'!$H$10)/1000</f>
        <v>2180.783</v>
      </c>
      <c r="D265" s="13">
        <f>(+'[177]Apr07l&amp;a'!$H$19)/1000</f>
        <v>122.862</v>
      </c>
      <c r="E265" s="13">
        <f>(+'[177]Apr07l&amp;a'!$H$23)/1000</f>
        <v>192.226</v>
      </c>
      <c r="F265" s="49">
        <f>(+'[177]Apr07l&amp;a'!$I$25)/1000</f>
        <v>596.583</v>
      </c>
      <c r="G265" s="49">
        <f t="shared" si="19"/>
        <v>5763.733</v>
      </c>
      <c r="H265" s="13">
        <f>(+'[177]Apr07l&amp;a'!$H$30)/1000</f>
        <v>269.993</v>
      </c>
      <c r="I265" s="13">
        <f>(+'[177]Apr07l&amp;a'!$H$31+'[177]Apr07l&amp;a'!$H$32)/1000</f>
        <v>1949.48</v>
      </c>
      <c r="J265" s="13">
        <f>(+'[177]Apr07l&amp;a'!$H$33)/1000</f>
        <v>268.264</v>
      </c>
      <c r="K265" s="13">
        <f>(+'[177]Apr07l&amp;a'!$H$34)/1000</f>
        <v>161.992</v>
      </c>
      <c r="L265" s="13">
        <f>(+'[177]Apr07l&amp;a'!$H$35)/1000</f>
        <v>124.854</v>
      </c>
      <c r="M265" s="13">
        <f>(+'[177]Apr07l&amp;a'!$H$36)/1000</f>
        <v>271.484</v>
      </c>
      <c r="N265" s="13">
        <f>(+'[177]Apr07l&amp;a'!$H$37)/1000</f>
        <v>927.968</v>
      </c>
      <c r="O265" s="13">
        <f>(+'[177]Apr07l&amp;a'!$H$38)/1000</f>
        <v>53.357</v>
      </c>
      <c r="P265" s="13">
        <f>(+'[177]Apr07l&amp;a'!$H$39)/1000</f>
        <v>1736.341</v>
      </c>
      <c r="Q265" s="49">
        <f t="shared" si="20"/>
        <v>9789.141</v>
      </c>
      <c r="R265" s="13">
        <f>(+'[177]Apr07l&amp;a'!$H$42)/1000</f>
        <v>9219.874</v>
      </c>
      <c r="S265" s="13">
        <f>(+'[177]Apr07l&amp;a'!$H$43)/1000</f>
        <v>322.85</v>
      </c>
      <c r="T265" s="13">
        <f>(+'[177]Apr07l&amp;a'!$H$44)/1000</f>
        <v>246.417</v>
      </c>
      <c r="U265" s="49">
        <f>(+'[177]Apr07l&amp;a'!$I$46)/1000</f>
        <v>890.59</v>
      </c>
      <c r="V265" s="49">
        <f t="shared" si="21"/>
        <v>5195.099</v>
      </c>
      <c r="W265" s="13">
        <f>(+'[177]Apr07l&amp;a'!$H$49)/1000</f>
        <v>3191.468</v>
      </c>
      <c r="X265" s="13">
        <f>(+'[177]Apr07l&amp;a'!$H$50)/1000</f>
        <v>50.111</v>
      </c>
      <c r="Y265" s="13">
        <f>(+'[177]Apr07l&amp;a'!$H$51)/1000</f>
        <v>1953.52</v>
      </c>
      <c r="Z265" s="49">
        <f>(+'[177]Apr07l&amp;a'!$I$53)/1000</f>
        <v>99.494</v>
      </c>
      <c r="AA265" s="49">
        <f t="shared" si="22"/>
        <v>28169.79</v>
      </c>
      <c r="AB265" s="13">
        <f>(+'[177]Apr07l&amp;a'!$H$56)/1000</f>
        <v>5197.544</v>
      </c>
      <c r="AC265" s="13">
        <f>(+'[177]Apr07l&amp;a'!$H$57)/1000</f>
        <v>0.161</v>
      </c>
      <c r="AD265" s="13">
        <f>(+'[177]Apr07l&amp;a'!$H$58)/1000</f>
        <v>9711.771</v>
      </c>
      <c r="AE265" s="13">
        <f>(+'[177]Apr07l&amp;a'!$H$59)/1000</f>
        <v>13260.314</v>
      </c>
      <c r="AF265" s="49">
        <f>(+'[177]Apr07l&amp;a'!$I$61)/1000</f>
        <v>16400.068</v>
      </c>
      <c r="AG265" s="49">
        <v>0</v>
      </c>
      <c r="AH265" s="49">
        <f>(+'[177]Apr07l&amp;a'!$I$63)/1000</f>
        <v>23323.27</v>
      </c>
      <c r="AI265" s="49">
        <f>(+'[177]Apr07l&amp;a'!$I$65)/1000</f>
        <v>277.574</v>
      </c>
      <c r="AJ265" s="49">
        <f>(+'[177]Apr07l&amp;a'!$I$67)/1000</f>
        <v>10380.574</v>
      </c>
      <c r="AK265" s="49">
        <f>(+'[177]Apr07l&amp;a'!$I$73)/1000</f>
        <v>59797.066</v>
      </c>
      <c r="AL265" s="49">
        <f>(+'[177]Apr07l&amp;a'!$I$77)/1000</f>
        <v>38.101</v>
      </c>
      <c r="AM265" s="14">
        <f t="shared" si="23"/>
        <v>163216.954</v>
      </c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8"/>
      <c r="ED265" s="18"/>
      <c r="EE265" s="18"/>
      <c r="EF265" s="18"/>
      <c r="EG265" s="18"/>
      <c r="EH265" s="18"/>
      <c r="EI265" s="18"/>
      <c r="EJ265" s="18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</row>
    <row r="266" spans="1:159" s="19" customFormat="1" ht="15">
      <c r="A266" s="22">
        <v>39233</v>
      </c>
      <c r="B266" s="49">
        <f t="shared" si="18"/>
        <v>2394.947</v>
      </c>
      <c r="C266" s="13">
        <f>(+'[122]May07l&amp;a'!$H$10)/1000</f>
        <v>2150.292</v>
      </c>
      <c r="D266" s="13">
        <f>(+'[178]May07l&amp;a'!$H$19)/1000</f>
        <v>136.634</v>
      </c>
      <c r="E266" s="13">
        <f>(+'[178]May07l&amp;a'!$H$23)/1000</f>
        <v>108.021</v>
      </c>
      <c r="F266" s="49">
        <f>(+'[178]May07l&amp;a'!$I$25)/1000</f>
        <v>564.995</v>
      </c>
      <c r="G266" s="49">
        <f t="shared" si="19"/>
        <v>5285.669</v>
      </c>
      <c r="H266" s="13">
        <f>(+'[178]May07l&amp;a'!$H$30)/1000</f>
        <v>267.4</v>
      </c>
      <c r="I266" s="13">
        <f>(+'[178]May07l&amp;a'!$H$31+'[178]May07l&amp;a'!$H$32)/1000</f>
        <v>1475.739</v>
      </c>
      <c r="J266" s="13">
        <f>(+'[178]May07l&amp;a'!$H$33)/1000</f>
        <v>276.581</v>
      </c>
      <c r="K266" s="13">
        <f>(+'[178]May07l&amp;a'!$H$34)/1000</f>
        <v>172.311</v>
      </c>
      <c r="L266" s="13">
        <f>(+'[178]May07l&amp;a'!$H$35)/1000</f>
        <v>133.297</v>
      </c>
      <c r="M266" s="13">
        <f>(+'[178]May07l&amp;a'!$H$36)/1000</f>
        <v>271.295</v>
      </c>
      <c r="N266" s="13">
        <f>(+'[178]May07l&amp;a'!$H$37)/1000</f>
        <v>918.606</v>
      </c>
      <c r="O266" s="13">
        <f>(+'[178]May07l&amp;a'!$H$38)/1000</f>
        <v>59.004</v>
      </c>
      <c r="P266" s="13">
        <f>(+'[178]May07l&amp;a'!$H$39)/1000</f>
        <v>1711.436</v>
      </c>
      <c r="Q266" s="49">
        <f t="shared" si="20"/>
        <v>9497.067000000001</v>
      </c>
      <c r="R266" s="13">
        <f>(+'[178]May07l&amp;a'!$H$42)/1000</f>
        <v>8840.941</v>
      </c>
      <c r="S266" s="13">
        <f>(+'[178]May07l&amp;a'!$H$43)/1000</f>
        <v>367.896</v>
      </c>
      <c r="T266" s="13">
        <f>(+'[178]May07l&amp;a'!$H$44)/1000</f>
        <v>288.23</v>
      </c>
      <c r="U266" s="49">
        <f>(+'[178]May07l&amp;a'!$I$46)/1000</f>
        <v>720.192</v>
      </c>
      <c r="V266" s="49">
        <f t="shared" si="21"/>
        <v>6011.771</v>
      </c>
      <c r="W266" s="13">
        <f>(+'[178]May07l&amp;a'!$H$49)/1000</f>
        <v>3178.482</v>
      </c>
      <c r="X266" s="13">
        <f>(+'[178]May07l&amp;a'!$H$50)/1000</f>
        <v>41.798</v>
      </c>
      <c r="Y266" s="13">
        <f>(+'[178]May07l&amp;a'!$H$51)/1000</f>
        <v>2791.491</v>
      </c>
      <c r="Z266" s="49">
        <f>(+'[178]May07l&amp;a'!$I$53)/1000</f>
        <v>114.344</v>
      </c>
      <c r="AA266" s="49">
        <f t="shared" si="22"/>
        <v>29916.966999999997</v>
      </c>
      <c r="AB266" s="13">
        <f>(+'[178]May07l&amp;a'!$H$56)/1000</f>
        <v>5243.089</v>
      </c>
      <c r="AC266" s="13">
        <f>(+'[178]May07l&amp;a'!$H$57)/1000</f>
        <v>0</v>
      </c>
      <c r="AD266" s="13">
        <f>(+'[178]May07l&amp;a'!$H$58)/1000</f>
        <v>10795.989</v>
      </c>
      <c r="AE266" s="13">
        <f>(+'[178]May07l&amp;a'!$H$59)/1000</f>
        <v>13877.889</v>
      </c>
      <c r="AF266" s="49">
        <f>(+'[178]May07l&amp;a'!$I$61)/1000</f>
        <v>17140.762</v>
      </c>
      <c r="AG266" s="49">
        <v>0</v>
      </c>
      <c r="AH266" s="49">
        <f>(+'[178]May07l&amp;a'!$I$63)/1000</f>
        <v>24194.256</v>
      </c>
      <c r="AI266" s="49">
        <f>(+'[178]May07l&amp;a'!$I$65)/1000</f>
        <v>299.397</v>
      </c>
      <c r="AJ266" s="49">
        <f>(+'[178]May07l&amp;a'!$I$67)/1000</f>
        <v>10652.411</v>
      </c>
      <c r="AK266" s="49">
        <f>(+'[178]May07l&amp;a'!$I$73)/1000</f>
        <v>60813.086</v>
      </c>
      <c r="AL266" s="49">
        <f>(+'[178]May07l&amp;a'!$I$77)/1000</f>
        <v>43.235</v>
      </c>
      <c r="AM266" s="14">
        <f t="shared" si="23"/>
        <v>167649.099</v>
      </c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8"/>
      <c r="ED266" s="18"/>
      <c r="EE266" s="18"/>
      <c r="EF266" s="18"/>
      <c r="EG266" s="18"/>
      <c r="EH266" s="18"/>
      <c r="EI266" s="18"/>
      <c r="EJ266" s="18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</row>
    <row r="267" spans="1:159" s="19" customFormat="1" ht="15">
      <c r="A267" s="22">
        <v>39263</v>
      </c>
      <c r="B267" s="49">
        <f t="shared" si="18"/>
        <v>2227.3700000000003</v>
      </c>
      <c r="C267" s="13">
        <f>(+'[123]Jun07l&amp;a'!$H$10)/1000</f>
        <v>1981.126</v>
      </c>
      <c r="D267" s="13">
        <f>(+'[179]Jun07l&amp;a'!$H$19)/1000</f>
        <v>138.185</v>
      </c>
      <c r="E267" s="13">
        <f>(+'[179]Jun07l&amp;a'!$H$23)/1000</f>
        <v>108.059</v>
      </c>
      <c r="F267" s="49">
        <f>(+'[179]Jun07l&amp;a'!$I$25)/1000</f>
        <v>566.872</v>
      </c>
      <c r="G267" s="49">
        <f t="shared" si="19"/>
        <v>5484.031999999999</v>
      </c>
      <c r="H267" s="13">
        <f>(+'[179]Jun07l&amp;a'!$H$30)/1000</f>
        <v>263.515</v>
      </c>
      <c r="I267" s="13">
        <f>(+'[179]Jun07l&amp;a'!$H$31+'[179]Jun07l&amp;a'!$H$32)/1000</f>
        <v>1503.569</v>
      </c>
      <c r="J267" s="13">
        <f>(+'[179]Jun07l&amp;a'!$H$33)/1000</f>
        <v>134.905</v>
      </c>
      <c r="K267" s="13">
        <f>(+'[179]Jun07l&amp;a'!$H$34)/1000</f>
        <v>181.009</v>
      </c>
      <c r="L267" s="13">
        <f>(+'[179]Jun07l&amp;a'!$H$35)/1000</f>
        <v>133.23</v>
      </c>
      <c r="M267" s="13">
        <f>(+'[179]Jun07l&amp;a'!$H$36)/1000</f>
        <v>263.87</v>
      </c>
      <c r="N267" s="13">
        <f>(+'[179]Jun07l&amp;a'!$H$37)/1000</f>
        <v>898.704</v>
      </c>
      <c r="O267" s="13">
        <f>(+'[179]Jun07l&amp;a'!$H$38)/1000</f>
        <v>88.211</v>
      </c>
      <c r="P267" s="13">
        <f>(+'[179]Jun07l&amp;a'!$H$39)/1000</f>
        <v>2017.019</v>
      </c>
      <c r="Q267" s="49">
        <f t="shared" si="20"/>
        <v>10077.510999999999</v>
      </c>
      <c r="R267" s="13">
        <f>(+'[179]Jun07l&amp;a'!$H$42)/1000</f>
        <v>9414.103</v>
      </c>
      <c r="S267" s="13">
        <f>(+'[179]Jun07l&amp;a'!$H$43)/1000</f>
        <v>377.133</v>
      </c>
      <c r="T267" s="13">
        <f>(+'[179]Jun07l&amp;a'!$H$44)/1000</f>
        <v>286.275</v>
      </c>
      <c r="U267" s="49">
        <f>(+'[179]Jun07l&amp;a'!$I$46)/1000</f>
        <v>743.875</v>
      </c>
      <c r="V267" s="49">
        <f t="shared" si="21"/>
        <v>6312.116</v>
      </c>
      <c r="W267" s="13">
        <f>(+'[179]Jun07l&amp;a'!$H$49)/1000</f>
        <v>3498.163</v>
      </c>
      <c r="X267" s="13">
        <f>(+'[179]Jun07l&amp;a'!$H$50)/1000</f>
        <v>29.991</v>
      </c>
      <c r="Y267" s="13">
        <f>(+'[179]Jun07l&amp;a'!$H$51)/1000</f>
        <v>2783.962</v>
      </c>
      <c r="Z267" s="49">
        <f>(+'[179]Jun07l&amp;a'!$I$53)/1000</f>
        <v>176.324</v>
      </c>
      <c r="AA267" s="49">
        <f t="shared" si="22"/>
        <v>30999.118000000002</v>
      </c>
      <c r="AB267" s="13">
        <f>(+'[179]Jun07l&amp;a'!$H$56)/1000</f>
        <v>5366.477</v>
      </c>
      <c r="AC267" s="13">
        <f>(+'[179]Jun07l&amp;a'!$H$57)/1000</f>
        <v>0</v>
      </c>
      <c r="AD267" s="13">
        <f>(+'[179]Jun07l&amp;a'!$H$58)/1000</f>
        <v>11610.065</v>
      </c>
      <c r="AE267" s="13">
        <f>(+'[179]Jun07l&amp;a'!$H$59)/1000</f>
        <v>14022.576</v>
      </c>
      <c r="AF267" s="49">
        <f>(+'[179]Jun07l&amp;a'!$I$61)/1000</f>
        <v>17467.261</v>
      </c>
      <c r="AG267" s="49">
        <v>0</v>
      </c>
      <c r="AH267" s="49">
        <f>(+'[179]Jun07l&amp;a'!$I$63)/1000</f>
        <v>24668.034</v>
      </c>
      <c r="AI267" s="49">
        <f>(+'[179]Jun07l&amp;a'!$I$65)/1000</f>
        <v>303.739</v>
      </c>
      <c r="AJ267" s="49">
        <f>(+'[179]Jun07l&amp;a'!$I$67)/1000</f>
        <v>10774.052</v>
      </c>
      <c r="AK267" s="49">
        <f>(+'[179]Jun07l&amp;a'!$I$73)/1000</f>
        <v>62916.05</v>
      </c>
      <c r="AL267" s="49">
        <f>(+'[179]Jun07l&amp;a'!$I$77)/1000</f>
        <v>53.373</v>
      </c>
      <c r="AM267" s="14">
        <f t="shared" si="23"/>
        <v>172769.72699999998</v>
      </c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8"/>
      <c r="ED267" s="18"/>
      <c r="EE267" s="18"/>
      <c r="EF267" s="18"/>
      <c r="EG267" s="18"/>
      <c r="EH267" s="18"/>
      <c r="EI267" s="18"/>
      <c r="EJ267" s="18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</row>
    <row r="268" spans="1:159" s="19" customFormat="1" ht="15">
      <c r="A268" s="22">
        <v>39294</v>
      </c>
      <c r="B268" s="49">
        <f t="shared" si="18"/>
        <v>2198.221</v>
      </c>
      <c r="C268" s="13">
        <f>(+'[124]July07l&amp;a'!$H$10)/1000</f>
        <v>1952.235</v>
      </c>
      <c r="D268" s="13">
        <f>(+'[180]July07l&amp;a'!$H$19)/1000</f>
        <v>137.859</v>
      </c>
      <c r="E268" s="13">
        <f>(+'[180]July07l&amp;a'!$H$23)/1000</f>
        <v>108.127</v>
      </c>
      <c r="F268" s="49">
        <f>(+'[180]July07l&amp;a'!$I$25)/1000</f>
        <v>571.289</v>
      </c>
      <c r="G268" s="49">
        <f t="shared" si="19"/>
        <v>5380.591</v>
      </c>
      <c r="H268" s="13">
        <f>(+'[180]July07l&amp;a'!$H$30)/1000</f>
        <v>259.487</v>
      </c>
      <c r="I268" s="13">
        <f>(+'[180]July07l&amp;a'!$H$31+'[180]July07l&amp;a'!$H$32)/1000</f>
        <v>1444.866</v>
      </c>
      <c r="J268" s="13">
        <f>(+'[180]July07l&amp;a'!$H$33)/1000</f>
        <v>110.96</v>
      </c>
      <c r="K268" s="13">
        <f>(+'[180]July07l&amp;a'!$H$34)/1000</f>
        <v>156.775</v>
      </c>
      <c r="L268" s="13">
        <f>(+'[180]July07l&amp;a'!$H$35)/1000</f>
        <v>131.724</v>
      </c>
      <c r="M268" s="13">
        <f>(+'[180]July07l&amp;a'!$H$36)/1000</f>
        <v>266.338</v>
      </c>
      <c r="N268" s="13">
        <f>(+'[180]July07l&amp;a'!$H$37)/1000</f>
        <v>899.231</v>
      </c>
      <c r="O268" s="13">
        <f>(+'[180]July07l&amp;a'!$H$38)/1000</f>
        <v>75.698</v>
      </c>
      <c r="P268" s="13">
        <f>(+'[180]July07l&amp;a'!$H$39)/1000</f>
        <v>2035.512</v>
      </c>
      <c r="Q268" s="49">
        <f t="shared" si="20"/>
        <v>10033.251</v>
      </c>
      <c r="R268" s="13">
        <f>(+'[180]July07l&amp;a'!$H$42)/1000</f>
        <v>9343.05</v>
      </c>
      <c r="S268" s="13">
        <f>(+'[180]July07l&amp;a'!$H$43)/1000</f>
        <v>403.432</v>
      </c>
      <c r="T268" s="13">
        <f>(+'[180]July07l&amp;a'!$H$44)/1000</f>
        <v>286.769</v>
      </c>
      <c r="U268" s="49">
        <f>(+'[180]July07l&amp;a'!$I$46)/1000</f>
        <v>708.385</v>
      </c>
      <c r="V268" s="49">
        <f t="shared" si="21"/>
        <v>7545.74</v>
      </c>
      <c r="W268" s="13">
        <f>(+'[180]July07l&amp;a'!$H$49)/1000</f>
        <v>4257.852</v>
      </c>
      <c r="X268" s="13">
        <f>(+'[180]July07l&amp;a'!$H$50)/1000</f>
        <v>27.868</v>
      </c>
      <c r="Y268" s="13">
        <f>(+'[180]July07l&amp;a'!$H$51)/1000</f>
        <v>3260.02</v>
      </c>
      <c r="Z268" s="49">
        <f>(+'[180]July07l&amp;a'!$I$53)/1000</f>
        <v>128.031</v>
      </c>
      <c r="AA268" s="49">
        <f t="shared" si="22"/>
        <v>30705.107000000004</v>
      </c>
      <c r="AB268" s="13">
        <f>(+'[180]July07l&amp;a'!$H$56)/1000</f>
        <v>5253.229</v>
      </c>
      <c r="AC268" s="13">
        <f>(+'[180]July07l&amp;a'!$H$57)/1000</f>
        <v>1.731</v>
      </c>
      <c r="AD268" s="13">
        <f>(+'[180]July07l&amp;a'!$H$58)/1000</f>
        <v>11877.761</v>
      </c>
      <c r="AE268" s="13">
        <f>(+'[180]July07l&amp;a'!$H$59)/1000</f>
        <v>13572.386</v>
      </c>
      <c r="AF268" s="49">
        <f>(+'[180]July07l&amp;a'!$I$61)/1000</f>
        <v>17496.791</v>
      </c>
      <c r="AG268" s="49">
        <v>0</v>
      </c>
      <c r="AH268" s="49">
        <f>(+'[180]July07l&amp;a'!$I$63)/1000</f>
        <v>24963.535</v>
      </c>
      <c r="AI268" s="49">
        <f>(+'[180]July07l&amp;a'!$I$65)/1000</f>
        <v>288.877</v>
      </c>
      <c r="AJ268" s="49">
        <f>(+'[180]July07l&amp;a'!$I$67)/1000</f>
        <v>10980.476</v>
      </c>
      <c r="AK268" s="49">
        <f>(+'[180]July07l&amp;a'!$I$73)/1000</f>
        <v>63951.838</v>
      </c>
      <c r="AL268" s="49">
        <f>(+'[180]July07l&amp;a'!$I$77)/1000</f>
        <v>55.977</v>
      </c>
      <c r="AM268" s="14">
        <f t="shared" si="23"/>
        <v>175008.109</v>
      </c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8"/>
      <c r="ED268" s="18"/>
      <c r="EE268" s="18"/>
      <c r="EF268" s="18"/>
      <c r="EG268" s="18"/>
      <c r="EH268" s="18"/>
      <c r="EI268" s="18"/>
      <c r="EJ268" s="18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</row>
    <row r="269" spans="1:159" s="19" customFormat="1" ht="15">
      <c r="A269" s="22">
        <v>39325</v>
      </c>
      <c r="B269" s="49">
        <f aca="true" t="shared" si="24" ref="B269:B332">SUM(C269:E269)</f>
        <v>1855.772</v>
      </c>
      <c r="C269" s="13">
        <f>(+'[125]Aug07l&amp;a'!$H$10)/1000</f>
        <v>1602.386</v>
      </c>
      <c r="D269" s="13">
        <f>(+'[181]Aug07l&amp;a'!$H$19)/1000</f>
        <v>144.296</v>
      </c>
      <c r="E269" s="13">
        <f>(+'[181]Aug07l&amp;a'!$H$23)/1000</f>
        <v>109.09</v>
      </c>
      <c r="F269" s="49">
        <f>(+'[181]Aug07l&amp;a'!$I$25)/1000</f>
        <v>537.194</v>
      </c>
      <c r="G269" s="49">
        <f aca="true" t="shared" si="25" ref="G269:G332">SUM(H269:P269)</f>
        <v>5601.465000000001</v>
      </c>
      <c r="H269" s="13">
        <f>(+'[181]Aug07l&amp;a'!$H$30)/1000</f>
        <v>259.381</v>
      </c>
      <c r="I269" s="13">
        <f>(+'[181]Aug07l&amp;a'!$H$31+'[181]Aug07l&amp;a'!$H$32)/1000</f>
        <v>1464.126</v>
      </c>
      <c r="J269" s="13">
        <f>(+'[181]Aug07l&amp;a'!$H$33)/1000</f>
        <v>149.96</v>
      </c>
      <c r="K269" s="13">
        <f>(+'[181]Aug07l&amp;a'!$H$34)/1000</f>
        <v>159.583</v>
      </c>
      <c r="L269" s="13">
        <f>(+'[181]Aug07l&amp;a'!$H$35)/1000</f>
        <v>145.335</v>
      </c>
      <c r="M269" s="13">
        <f>(+'[181]Aug07l&amp;a'!$H$36)/1000</f>
        <v>253.271</v>
      </c>
      <c r="N269" s="13">
        <f>(+'[181]Aug07l&amp;a'!$H$37)/1000</f>
        <v>1030.646</v>
      </c>
      <c r="O269" s="13">
        <f>(+'[181]Aug07l&amp;a'!$H$38)/1000</f>
        <v>109.436</v>
      </c>
      <c r="P269" s="13">
        <f>(+'[181]Aug07l&amp;a'!$H$39)/1000</f>
        <v>2029.727</v>
      </c>
      <c r="Q269" s="49">
        <f aca="true" t="shared" si="26" ref="Q269:Q332">SUM(R269:T269)</f>
        <v>10171.657000000001</v>
      </c>
      <c r="R269" s="13">
        <f>(+'[181]Aug07l&amp;a'!$H$42)/1000</f>
        <v>9388.422</v>
      </c>
      <c r="S269" s="13">
        <f>(+'[181]Aug07l&amp;a'!$H$43)/1000</f>
        <v>483.208</v>
      </c>
      <c r="T269" s="13">
        <f>(+'[181]Aug07l&amp;a'!$H$44)/1000</f>
        <v>300.027</v>
      </c>
      <c r="U269" s="49">
        <f>(+'[181]Aug07l&amp;a'!$I$46)/1000</f>
        <v>744.375</v>
      </c>
      <c r="V269" s="49">
        <f aca="true" t="shared" si="27" ref="V269:V332">SUM(W269:Y269)</f>
        <v>6966.505</v>
      </c>
      <c r="W269" s="13">
        <f>(+'[181]Aug07l&amp;a'!$H$49)/1000</f>
        <v>3667.877</v>
      </c>
      <c r="X269" s="13">
        <f>(+'[181]Aug07l&amp;a'!$H$50)/1000</f>
        <v>28.179</v>
      </c>
      <c r="Y269" s="13">
        <f>(+'[181]Aug07l&amp;a'!$H$51)/1000</f>
        <v>3270.449</v>
      </c>
      <c r="Z269" s="49">
        <f>(+'[181]Aug07l&amp;a'!$I$53)/1000</f>
        <v>935.668</v>
      </c>
      <c r="AA269" s="49">
        <f aca="true" t="shared" si="28" ref="AA269:AA332">SUM(AB269:AE269)</f>
        <v>29156.482</v>
      </c>
      <c r="AB269" s="13">
        <f>(+'[181]Aug07l&amp;a'!$H$56)/1000</f>
        <v>5202.073</v>
      </c>
      <c r="AC269" s="13">
        <f>(+'[181]Aug07l&amp;a'!$H$57)/1000</f>
        <v>0.96</v>
      </c>
      <c r="AD269" s="13">
        <f>(+'[181]Aug07l&amp;a'!$H$58)/1000</f>
        <v>10674.52</v>
      </c>
      <c r="AE269" s="13">
        <f>(+'[181]Aug07l&amp;a'!$H$59)/1000</f>
        <v>13278.929</v>
      </c>
      <c r="AF269" s="49">
        <f>(+'[181]Aug07l&amp;a'!$I$61)/1000</f>
        <v>16729.165</v>
      </c>
      <c r="AG269" s="49">
        <v>0</v>
      </c>
      <c r="AH269" s="49">
        <f>(+'[181]Aug07l&amp;a'!$I$63)/1000</f>
        <v>26309.004</v>
      </c>
      <c r="AI269" s="49">
        <f>(+'[181]Aug07l&amp;a'!$I$65)/1000</f>
        <v>283.96</v>
      </c>
      <c r="AJ269" s="49">
        <f>(+'[181]Aug07l&amp;a'!$I$67)/1000</f>
        <v>11371.387</v>
      </c>
      <c r="AK269" s="49">
        <f>(+'[181]Aug07l&amp;a'!$I$73)/1000</f>
        <v>66337.526</v>
      </c>
      <c r="AL269" s="49">
        <f>(+'[181]Aug07l&amp;a'!$I$77)/1000</f>
        <v>51.205</v>
      </c>
      <c r="AM269" s="14">
        <f aca="true" t="shared" si="29" ref="AM269:AM332">+B269+F269+G269+Q269+U269+V269+Z269+AA269+AF269+AH269+AI269+AJ269+AK269+AL269+AG269</f>
        <v>177051.365</v>
      </c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8"/>
      <c r="ED269" s="18"/>
      <c r="EE269" s="18"/>
      <c r="EF269" s="18"/>
      <c r="EG269" s="18"/>
      <c r="EH269" s="18"/>
      <c r="EI269" s="18"/>
      <c r="EJ269" s="18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</row>
    <row r="270" spans="1:159" s="19" customFormat="1" ht="15">
      <c r="A270" s="22">
        <v>39355</v>
      </c>
      <c r="B270" s="49">
        <f t="shared" si="24"/>
        <v>1989.911</v>
      </c>
      <c r="C270" s="13">
        <f>(+'[126]Sep07loa'!$H$10)/1000</f>
        <v>1748.997</v>
      </c>
      <c r="D270" s="13">
        <f>(+'[182]Sep07loa'!$H$19)/1000</f>
        <v>131.043</v>
      </c>
      <c r="E270" s="13">
        <f>(+'[182]Sep07loa'!$H$23)/1000</f>
        <v>109.871</v>
      </c>
      <c r="F270" s="49">
        <f>(+'[182]Sep07loa'!$I$25)/1000</f>
        <v>557.736</v>
      </c>
      <c r="G270" s="49">
        <f t="shared" si="25"/>
        <v>6309.234999999999</v>
      </c>
      <c r="H270" s="13">
        <f>(+'[182]Sep07loa'!$H$30)/1000</f>
        <v>260.373</v>
      </c>
      <c r="I270" s="13">
        <f>(+'[182]Sep07loa'!$H$31+'[182]Sep07loa'!$H$32)/1000</f>
        <v>1871.079</v>
      </c>
      <c r="J270" s="13">
        <f>(+'[182]Sep07loa'!$H$33)/1000</f>
        <v>154.149</v>
      </c>
      <c r="K270" s="13">
        <f>(+'[182]Sep07loa'!$H$34)/1000</f>
        <v>160.974</v>
      </c>
      <c r="L270" s="13">
        <f>(+'[182]Sep07loa'!$H$35)/1000</f>
        <v>155.627</v>
      </c>
      <c r="M270" s="13">
        <f>(+'[182]Sep07loa'!$H$36)/1000</f>
        <v>290.519</v>
      </c>
      <c r="N270" s="13">
        <f>(+'[182]Sep07loa'!$H$37)/1000</f>
        <v>972.366</v>
      </c>
      <c r="O270" s="13">
        <f>(+'[182]Sep07loa'!$H$38)/1000</f>
        <v>82.497</v>
      </c>
      <c r="P270" s="13">
        <f>(+'[182]Sep07loa'!$H$39)/1000</f>
        <v>2361.651</v>
      </c>
      <c r="Q270" s="49">
        <f t="shared" si="26"/>
        <v>10427.760999999999</v>
      </c>
      <c r="R270" s="13">
        <f>(+'[182]Sep07loa'!$H$42)/1000</f>
        <v>9572.775</v>
      </c>
      <c r="S270" s="13">
        <f>(+'[182]Sep07loa'!$H$43)/1000</f>
        <v>538.4</v>
      </c>
      <c r="T270" s="13">
        <f>(+'[182]Sep07loa'!$H$44)/1000</f>
        <v>316.586</v>
      </c>
      <c r="U270" s="49">
        <f>(+'[182]Sep07loa'!$I$46)/1000</f>
        <v>791.068</v>
      </c>
      <c r="V270" s="49">
        <f t="shared" si="27"/>
        <v>7073.204</v>
      </c>
      <c r="W270" s="13">
        <f>(+'[182]Sep07loa'!$H$49)/1000</f>
        <v>3760.541</v>
      </c>
      <c r="X270" s="13">
        <f>(+'[182]Sep07loa'!$H$50)/1000</f>
        <v>28.006</v>
      </c>
      <c r="Y270" s="13">
        <f>(+'[182]Sep07loa'!$H$51)/1000</f>
        <v>3284.657</v>
      </c>
      <c r="Z270" s="49">
        <f>(+'[182]Sep07loa'!$I$53)/1000</f>
        <v>1691.012</v>
      </c>
      <c r="AA270" s="49">
        <f t="shared" si="28"/>
        <v>28521.844</v>
      </c>
      <c r="AB270" s="13">
        <f>(+'[182]Sep07loa'!$H$56)/1000</f>
        <v>5387.074</v>
      </c>
      <c r="AC270" s="13">
        <f>(+'[182]Sep07loa'!$H$57)/1000</f>
        <v>0</v>
      </c>
      <c r="AD270" s="13">
        <f>(+'[182]Sep07loa'!$H$58)/1000</f>
        <v>10237.61</v>
      </c>
      <c r="AE270" s="13">
        <f>(+'[182]Sep07loa'!$H$59)/1000</f>
        <v>12897.16</v>
      </c>
      <c r="AF270" s="49">
        <f>(+'[182]Sep07loa'!$I$61)/1000</f>
        <v>18148.973</v>
      </c>
      <c r="AG270" s="49">
        <v>0</v>
      </c>
      <c r="AH270" s="49">
        <f>(+'[182]Sep07loa'!$I$63)/1000</f>
        <v>27961.103</v>
      </c>
      <c r="AI270" s="49">
        <f>(+'[182]Sep07loa'!$I$65)/1000</f>
        <v>288.975</v>
      </c>
      <c r="AJ270" s="49">
        <f>(+'[182]Sep07loa'!$I$67)/1000</f>
        <v>11912.007</v>
      </c>
      <c r="AK270" s="49">
        <f>(+'[182]Sep07loa'!$I$73)/1000</f>
        <v>68179.667</v>
      </c>
      <c r="AL270" s="49">
        <f>(+'[182]Sep07loa'!$I$77)/1000</f>
        <v>45.922</v>
      </c>
      <c r="AM270" s="14">
        <f t="shared" si="29"/>
        <v>183898.41799999998</v>
      </c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8"/>
      <c r="ED270" s="18"/>
      <c r="EE270" s="18"/>
      <c r="EF270" s="18"/>
      <c r="EG270" s="18"/>
      <c r="EH270" s="18"/>
      <c r="EI270" s="18"/>
      <c r="EJ270" s="18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</row>
    <row r="271" spans="1:159" s="19" customFormat="1" ht="15">
      <c r="A271" s="22">
        <v>39386</v>
      </c>
      <c r="B271" s="49">
        <f t="shared" si="24"/>
        <v>2178.9640000000004</v>
      </c>
      <c r="C271" s="13">
        <f>(+'[127]Oct07loa'!$H$10)/1000</f>
        <v>1935.517</v>
      </c>
      <c r="D271" s="13">
        <f>(+'[183]Oct07loa'!$H$19)/1000</f>
        <v>132.694</v>
      </c>
      <c r="E271" s="13">
        <f>(+'[183]Oct07loa'!$H$23)/1000</f>
        <v>110.753</v>
      </c>
      <c r="F271" s="49">
        <f>(+'[183]Oct07loa'!$I$25)/1000</f>
        <v>567.498</v>
      </c>
      <c r="G271" s="49">
        <f t="shared" si="25"/>
        <v>6400.025000000001</v>
      </c>
      <c r="H271" s="13">
        <f>(+'[183]Oct07loa'!$H$30)/1000</f>
        <v>269.369</v>
      </c>
      <c r="I271" s="13">
        <f>(+'[183]Oct07loa'!$H$31+'[183]Oct07loa'!$H$32)/1000</f>
        <v>1906.152</v>
      </c>
      <c r="J271" s="13">
        <f>(+'[183]Oct07loa'!$H$33)/1000</f>
        <v>153.9</v>
      </c>
      <c r="K271" s="13">
        <f>(+'[183]Oct07loa'!$H$34)/1000</f>
        <v>128.434</v>
      </c>
      <c r="L271" s="13">
        <f>(+'[183]Oct07loa'!$H$35)/1000</f>
        <v>227.577</v>
      </c>
      <c r="M271" s="13">
        <f>(+'[183]Oct07loa'!$H$36)/1000</f>
        <v>300.412</v>
      </c>
      <c r="N271" s="13">
        <f>(+'[183]Oct07loa'!$H$37)/1000</f>
        <v>875.636</v>
      </c>
      <c r="O271" s="13">
        <f>(+'[183]Oct07loa'!$H$38)/1000</f>
        <v>101.012</v>
      </c>
      <c r="P271" s="13">
        <f>(+'[183]Oct07loa'!$H$39)/1000</f>
        <v>2437.533</v>
      </c>
      <c r="Q271" s="49">
        <f t="shared" si="26"/>
        <v>9329.236</v>
      </c>
      <c r="R271" s="13">
        <f>(+'[183]Oct07loa'!$H$42)/1000</f>
        <v>8367.447</v>
      </c>
      <c r="S271" s="13">
        <f>(+'[183]Oct07loa'!$H$43)/1000</f>
        <v>646.055</v>
      </c>
      <c r="T271" s="13">
        <f>(+'[183]Oct07loa'!$H$44)/1000</f>
        <v>315.734</v>
      </c>
      <c r="U271" s="49">
        <f>(+'[183]Oct07loa'!$I$46)/1000</f>
        <v>719.057</v>
      </c>
      <c r="V271" s="49">
        <f t="shared" si="27"/>
        <v>7744.895</v>
      </c>
      <c r="W271" s="13">
        <f>(+'[183]Oct07loa'!$H$49)/1000</f>
        <v>4229.883</v>
      </c>
      <c r="X271" s="13">
        <f>(+'[183]Oct07loa'!$H$50)/1000</f>
        <v>31.184</v>
      </c>
      <c r="Y271" s="13">
        <f>(+'[183]Oct07loa'!$H$51)/1000</f>
        <v>3483.828</v>
      </c>
      <c r="Z271" s="49">
        <f>(+'[183]Oct07loa'!$I$53)/1000</f>
        <v>1694.447</v>
      </c>
      <c r="AA271" s="49">
        <f t="shared" si="28"/>
        <v>30225.693999999996</v>
      </c>
      <c r="AB271" s="13">
        <f>(+'[183]Oct07loa'!$H$56)/1000</f>
        <v>6386.317</v>
      </c>
      <c r="AC271" s="13">
        <f>(+'[183]Oct07loa'!$H$57)/1000</f>
        <v>2.014</v>
      </c>
      <c r="AD271" s="13">
        <f>(+'[183]Oct07loa'!$H$58)/1000</f>
        <v>11225.233</v>
      </c>
      <c r="AE271" s="13">
        <f>(+'[183]Oct07loa'!$H$59)/1000</f>
        <v>12612.13</v>
      </c>
      <c r="AF271" s="49">
        <f>(+'[183]Oct07loa'!$I$61)/1000</f>
        <v>18341.963</v>
      </c>
      <c r="AG271" s="49">
        <v>0</v>
      </c>
      <c r="AH271" s="49">
        <f>(+'[183]Oct07loa'!$I$63)/1000</f>
        <v>28680.28</v>
      </c>
      <c r="AI271" s="49">
        <f>(+'[183]Oct07loa'!$I$65)/1000</f>
        <v>304.207</v>
      </c>
      <c r="AJ271" s="49">
        <f>(+'[183]Oct07loa'!$I$67)/1000</f>
        <v>11563.108</v>
      </c>
      <c r="AK271" s="49">
        <f>(+'[183]Oct07loa'!$I$73)/1000</f>
        <v>70004.315</v>
      </c>
      <c r="AL271" s="49">
        <f>(+'[183]Oct07loa'!$I$77)/1000</f>
        <v>46.831</v>
      </c>
      <c r="AM271" s="14">
        <f t="shared" si="29"/>
        <v>187800.52</v>
      </c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8"/>
      <c r="ED271" s="18"/>
      <c r="EE271" s="18"/>
      <c r="EF271" s="18"/>
      <c r="EG271" s="18"/>
      <c r="EH271" s="18"/>
      <c r="EI271" s="18"/>
      <c r="EJ271" s="18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</row>
    <row r="272" spans="1:159" s="19" customFormat="1" ht="15">
      <c r="A272" s="22">
        <v>39416</v>
      </c>
      <c r="B272" s="49">
        <f t="shared" si="24"/>
        <v>2165.504</v>
      </c>
      <c r="C272" s="13">
        <f>(+'[128]Nov07loa'!$H$10)/1000</f>
        <v>1929.888</v>
      </c>
      <c r="D272" s="13">
        <f>(+'[184]Nov07loa'!$H$19)/1000</f>
        <v>124.814</v>
      </c>
      <c r="E272" s="13">
        <f>(+'[184]Nov07loa'!$H$23)/1000</f>
        <v>110.802</v>
      </c>
      <c r="F272" s="49">
        <f>(+'[184]Nov07loa'!$I$25)/1000</f>
        <v>538.638</v>
      </c>
      <c r="G272" s="49">
        <f t="shared" si="25"/>
        <v>6400.049</v>
      </c>
      <c r="H272" s="13">
        <f>(+'[184]Nov07loa'!$H$30)/1000</f>
        <v>247.463</v>
      </c>
      <c r="I272" s="13">
        <f>(+'[184]Nov07loa'!$H$31+'[184]Nov07loa'!$H$32)/1000</f>
        <v>2027.491</v>
      </c>
      <c r="J272" s="13">
        <f>(+'[184]Nov07loa'!$H$33)/1000</f>
        <v>149.92</v>
      </c>
      <c r="K272" s="13">
        <f>(+'[184]Nov07loa'!$H$34)/1000</f>
        <v>140.669</v>
      </c>
      <c r="L272" s="13">
        <f>(+'[184]Nov07loa'!$H$35)/1000</f>
        <v>241.774</v>
      </c>
      <c r="M272" s="13">
        <f>(+'[184]Nov07loa'!$H$36)/1000</f>
        <v>313.676</v>
      </c>
      <c r="N272" s="13">
        <f>(+'[184]Nov07loa'!$H$37)/1000</f>
        <v>765.114</v>
      </c>
      <c r="O272" s="13">
        <f>(+'[184]Nov07loa'!$H$38)/1000</f>
        <v>99.158</v>
      </c>
      <c r="P272" s="13">
        <f>(+'[184]Nov07loa'!$H$39)/1000</f>
        <v>2414.784</v>
      </c>
      <c r="Q272" s="49">
        <f t="shared" si="26"/>
        <v>9597.19</v>
      </c>
      <c r="R272" s="13">
        <f>(+'[184]Nov07loa'!$H$42)/1000</f>
        <v>8510.37</v>
      </c>
      <c r="S272" s="13">
        <f>(+'[184]Nov07loa'!$H$43)/1000</f>
        <v>777.759</v>
      </c>
      <c r="T272" s="13">
        <f>(+'[184]Nov07loa'!$H$44)/1000</f>
        <v>309.061</v>
      </c>
      <c r="U272" s="49">
        <f>(+'[184]Nov07loa'!$I$46)/1000</f>
        <v>751.458</v>
      </c>
      <c r="V272" s="49">
        <f t="shared" si="27"/>
        <v>7695.414</v>
      </c>
      <c r="W272" s="13">
        <f>(+'[184]Nov07loa'!$H$49)/1000</f>
        <v>4182.647</v>
      </c>
      <c r="X272" s="13">
        <f>(+'[184]Nov07loa'!$H$50)/1000</f>
        <v>40.24</v>
      </c>
      <c r="Y272" s="13">
        <f>(+'[184]Nov07loa'!$H$51)/1000</f>
        <v>3472.527</v>
      </c>
      <c r="Z272" s="49">
        <f>(+'[184]Nov07loa'!$I$53)/1000</f>
        <v>1708.431</v>
      </c>
      <c r="AA272" s="49">
        <f t="shared" si="28"/>
        <v>29463.354</v>
      </c>
      <c r="AB272" s="13">
        <f>(+'[184]Nov07loa'!$H$56)/1000</f>
        <v>6393.216</v>
      </c>
      <c r="AC272" s="13">
        <f>(+'[184]Nov07loa'!$H$57)/1000</f>
        <v>0.35</v>
      </c>
      <c r="AD272" s="13">
        <f>(+'[184]Nov07loa'!$H$58)/1000</f>
        <v>10814.525</v>
      </c>
      <c r="AE272" s="13">
        <f>(+'[184]Nov07loa'!$H$59)/1000</f>
        <v>12255.263</v>
      </c>
      <c r="AF272" s="49">
        <f>(+'[184]Nov07loa'!$I$61)/1000</f>
        <v>18831.389</v>
      </c>
      <c r="AG272" s="49">
        <v>0</v>
      </c>
      <c r="AH272" s="49">
        <f>(+'[184]Nov07loa'!$I$63)/1000</f>
        <v>29021.189</v>
      </c>
      <c r="AI272" s="49">
        <f>(+'[184]Nov07loa'!$I$65)/1000</f>
        <v>289.269</v>
      </c>
      <c r="AJ272" s="49">
        <f>(+'[184]Nov07loa'!$I$67)/1000</f>
        <v>11773.672</v>
      </c>
      <c r="AK272" s="49">
        <f>(+'[184]Nov07loa'!$I$73)/1000</f>
        <v>72030.989</v>
      </c>
      <c r="AL272" s="49">
        <f>(+'[184]Nov07loa'!$I$77)/1000</f>
        <v>47.258</v>
      </c>
      <c r="AM272" s="14">
        <f t="shared" si="29"/>
        <v>190313.804</v>
      </c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8"/>
      <c r="ED272" s="18"/>
      <c r="EE272" s="18"/>
      <c r="EF272" s="18"/>
      <c r="EG272" s="18"/>
      <c r="EH272" s="18"/>
      <c r="EI272" s="18"/>
      <c r="EJ272" s="18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</row>
    <row r="273" spans="1:159" s="19" customFormat="1" ht="15">
      <c r="A273" s="22">
        <v>39447</v>
      </c>
      <c r="B273" s="49">
        <f t="shared" si="24"/>
        <v>2163.73</v>
      </c>
      <c r="C273" s="13">
        <f>(+'[129]Dec07loa'!$H$10)/1000</f>
        <v>1939.686</v>
      </c>
      <c r="D273" s="13">
        <f>(+'[185]Dec07loa'!$H$19)/1000</f>
        <v>114.691</v>
      </c>
      <c r="E273" s="13">
        <f>(+'[185]Dec07loa'!$H$23)/1000</f>
        <v>109.353</v>
      </c>
      <c r="F273" s="49">
        <f>(+'[185]Dec07loa'!$I$25)/1000</f>
        <v>513.411</v>
      </c>
      <c r="G273" s="49">
        <f t="shared" si="25"/>
        <v>6259.15</v>
      </c>
      <c r="H273" s="13">
        <f>(+'[185]Dec07loa'!$H$30)/1000</f>
        <v>209.033</v>
      </c>
      <c r="I273" s="13">
        <f>(+'[185]Dec07loa'!$H$31+'[185]Dec07loa'!$H$32)/1000</f>
        <v>2026.115</v>
      </c>
      <c r="J273" s="13">
        <f>(+'[185]Dec07loa'!$H$33)/1000</f>
        <v>157.561</v>
      </c>
      <c r="K273" s="13">
        <f>(+'[185]Dec07loa'!$H$34)/1000</f>
        <v>123.615</v>
      </c>
      <c r="L273" s="13">
        <f>(+'[185]Dec07loa'!$H$35)/1000</f>
        <v>259.794</v>
      </c>
      <c r="M273" s="13">
        <f>(+'[185]Dec07loa'!$H$36)/1000</f>
        <v>319.223</v>
      </c>
      <c r="N273" s="13">
        <f>(+'[185]Dec07loa'!$H$37)/1000</f>
        <v>701.321</v>
      </c>
      <c r="O273" s="13">
        <f>(+'[185]Dec07loa'!$H$38)/1000</f>
        <v>101.468</v>
      </c>
      <c r="P273" s="13">
        <f>(+'[185]Dec07loa'!$H$39)/1000</f>
        <v>2361.02</v>
      </c>
      <c r="Q273" s="49">
        <f t="shared" si="26"/>
        <v>8977.369999999999</v>
      </c>
      <c r="R273" s="13">
        <f>(+'[185]Dec07loa'!$H$42)/1000</f>
        <v>7881.569</v>
      </c>
      <c r="S273" s="13">
        <f>(+'[185]Dec07loa'!$H$43)/1000</f>
        <v>783.482</v>
      </c>
      <c r="T273" s="13">
        <f>(+'[185]Dec07loa'!$H$44)/1000</f>
        <v>312.319</v>
      </c>
      <c r="U273" s="49">
        <f>(+'[185]Dec07loa'!$I$46)/1000</f>
        <v>749.734</v>
      </c>
      <c r="V273" s="49">
        <f t="shared" si="27"/>
        <v>8191.314</v>
      </c>
      <c r="W273" s="13">
        <f>(+'[185]Dec07loa'!$H$49)/1000</f>
        <v>4176.627</v>
      </c>
      <c r="X273" s="13">
        <f>(+'[185]Dec07loa'!$H$50)/1000</f>
        <v>31.374</v>
      </c>
      <c r="Y273" s="13">
        <f>(+'[185]Dec07loa'!$H$51)/1000</f>
        <v>3983.313</v>
      </c>
      <c r="Z273" s="49">
        <f>(+'[185]Dec07loa'!$I$53)/1000</f>
        <v>2405.317</v>
      </c>
      <c r="AA273" s="49">
        <f t="shared" si="28"/>
        <v>31663.195999999996</v>
      </c>
      <c r="AB273" s="13">
        <f>(+'[185]Dec07loa'!$H$56)/1000</f>
        <v>6090.695</v>
      </c>
      <c r="AC273" s="13">
        <f>(+'[185]Dec07loa'!$H$57)/1000</f>
        <v>0.348</v>
      </c>
      <c r="AD273" s="13">
        <f>(+'[185]Dec07loa'!$H$58)/1000</f>
        <v>13275.144</v>
      </c>
      <c r="AE273" s="13">
        <f>(+'[185]Dec07loa'!$H$59)/1000</f>
        <v>12297.009</v>
      </c>
      <c r="AF273" s="49">
        <f>(+'[185]Dec07loa'!$I$61)/1000</f>
        <v>18728.731</v>
      </c>
      <c r="AG273" s="49">
        <v>0</v>
      </c>
      <c r="AH273" s="49">
        <f>(+'[185]Dec07loa'!$I$63)/1000</f>
        <v>29562.84</v>
      </c>
      <c r="AI273" s="49">
        <f>(+'[185]Dec07loa'!$I$65)/1000</f>
        <v>285.748</v>
      </c>
      <c r="AJ273" s="49">
        <f>(+'[185]Dec07loa'!$I$67)/1000</f>
        <v>11826.496</v>
      </c>
      <c r="AK273" s="49">
        <f>(+'[185]Dec07loa'!$I$73)/1000</f>
        <v>73729.795</v>
      </c>
      <c r="AL273" s="49">
        <f>(+'[185]Dec07loa'!$I$77)/1000</f>
        <v>46.106</v>
      </c>
      <c r="AM273" s="14">
        <f t="shared" si="29"/>
        <v>195102.938</v>
      </c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8"/>
      <c r="ED273" s="18"/>
      <c r="EE273" s="18"/>
      <c r="EF273" s="18"/>
      <c r="EG273" s="18"/>
      <c r="EH273" s="18"/>
      <c r="EI273" s="18"/>
      <c r="EJ273" s="18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</row>
    <row r="274" spans="1:159" s="19" customFormat="1" ht="15">
      <c r="A274" s="22">
        <v>39478</v>
      </c>
      <c r="B274" s="49">
        <f t="shared" si="24"/>
        <v>2150.934</v>
      </c>
      <c r="C274" s="13">
        <f>(+'[130]Jan08loa'!$H$10)/1000</f>
        <v>1926.39</v>
      </c>
      <c r="D274" s="13">
        <f>(+'[186]Jan08loa'!$H$19)/1000</f>
        <v>113.96</v>
      </c>
      <c r="E274" s="13">
        <f>(+'[186]Jan08loa'!$H$23)/1000</f>
        <v>110.584</v>
      </c>
      <c r="F274" s="49">
        <f>(+'[186]Jan08loa'!$I$25)/1000</f>
        <v>497.722</v>
      </c>
      <c r="G274" s="49">
        <f t="shared" si="25"/>
        <v>6386.714</v>
      </c>
      <c r="H274" s="13">
        <f>(+'[186]Jan08loa'!$H$30)/1000</f>
        <v>166.826</v>
      </c>
      <c r="I274" s="13">
        <f>(+'[186]Jan08loa'!$H$31+'[186]Jan08loa'!$H$32)/1000</f>
        <v>1934.675</v>
      </c>
      <c r="J274" s="13">
        <f>(+'[186]Jan08loa'!$H$33)/1000</f>
        <v>140.093</v>
      </c>
      <c r="K274" s="13">
        <f>(+'[186]Jan08loa'!$H$34)/1000</f>
        <v>120.067</v>
      </c>
      <c r="L274" s="13">
        <f>(+'[186]Jan08loa'!$H$35)/1000</f>
        <v>275.771</v>
      </c>
      <c r="M274" s="13">
        <f>(+'[186]Jan08loa'!$H$36)/1000</f>
        <v>327.714</v>
      </c>
      <c r="N274" s="13">
        <f>(+'[186]Jan08loa'!$H$37)/1000</f>
        <v>724.823</v>
      </c>
      <c r="O274" s="13">
        <f>(+'[186]Jan08loa'!$H$38)/1000</f>
        <v>306.296</v>
      </c>
      <c r="P274" s="13">
        <f>(+'[186]Jan08loa'!$H$39)/1000</f>
        <v>2390.449</v>
      </c>
      <c r="Q274" s="49">
        <f t="shared" si="26"/>
        <v>9527.789</v>
      </c>
      <c r="R274" s="13">
        <f>(+'[186]Jan08loa'!$H$42)/1000</f>
        <v>8441.389</v>
      </c>
      <c r="S274" s="13">
        <f>(+'[186]Jan08loa'!$H$43)/1000</f>
        <v>774.932</v>
      </c>
      <c r="T274" s="13">
        <f>(+'[186]Jan08loa'!$H$44)/1000</f>
        <v>311.468</v>
      </c>
      <c r="U274" s="49">
        <f>(+'[186]Jan08loa'!$I$46)/1000</f>
        <v>810.658</v>
      </c>
      <c r="V274" s="49">
        <f t="shared" si="27"/>
        <v>8600.711</v>
      </c>
      <c r="W274" s="13">
        <f>(+'[186]Jan08loa'!$H$49)/1000</f>
        <v>4466.5</v>
      </c>
      <c r="X274" s="13">
        <f>(+'[186]Jan08loa'!$H$50)/1000</f>
        <v>30.488</v>
      </c>
      <c r="Y274" s="13">
        <f>(+'[186]Jan08loa'!$H$51)/1000</f>
        <v>4103.723</v>
      </c>
      <c r="Z274" s="49">
        <f>(+'[186]Jan08loa'!$I$53)/1000</f>
        <v>2812.497</v>
      </c>
      <c r="AA274" s="49">
        <f t="shared" si="28"/>
        <v>31571.224000000002</v>
      </c>
      <c r="AB274" s="13">
        <f>(+'[186]Jan08loa'!$H$56)/1000</f>
        <v>5280.868</v>
      </c>
      <c r="AC274" s="13">
        <f>(+'[186]Jan08loa'!$H$57)/1000</f>
        <v>0.507</v>
      </c>
      <c r="AD274" s="13">
        <f>(+'[186]Jan08loa'!$H$58)/1000</f>
        <v>14112.45</v>
      </c>
      <c r="AE274" s="13">
        <f>(+'[186]Jan08loa'!$H$59)/1000</f>
        <v>12177.399</v>
      </c>
      <c r="AF274" s="49">
        <f>(+'[186]Jan08loa'!$I$61)/1000</f>
        <v>18074.761</v>
      </c>
      <c r="AG274" s="49">
        <v>0</v>
      </c>
      <c r="AH274" s="49">
        <f>(+'[186]Jan08loa'!$I$63)/1000</f>
        <v>29295.352</v>
      </c>
      <c r="AI274" s="49">
        <f>(+'[186]Jan08loa'!$I$65)/1000</f>
        <v>285.304</v>
      </c>
      <c r="AJ274" s="49">
        <f>(+'[186]Jan08loa'!$I$67)/1000</f>
        <v>11568.214</v>
      </c>
      <c r="AK274" s="49">
        <f>(+'[186]Jan08loa'!$I$73)/1000</f>
        <v>74295.582</v>
      </c>
      <c r="AL274" s="49">
        <f>(+'[186]Jan08loa'!$I$77)/1000</f>
        <v>47.634</v>
      </c>
      <c r="AM274" s="14">
        <f t="shared" si="29"/>
        <v>195925.096</v>
      </c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8"/>
      <c r="ED274" s="18"/>
      <c r="EE274" s="18"/>
      <c r="EF274" s="18"/>
      <c r="EG274" s="18"/>
      <c r="EH274" s="18"/>
      <c r="EI274" s="18"/>
      <c r="EJ274" s="18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</row>
    <row r="275" spans="1:159" s="19" customFormat="1" ht="15">
      <c r="A275" s="22">
        <v>39507</v>
      </c>
      <c r="B275" s="49">
        <f t="shared" si="24"/>
        <v>2315.744</v>
      </c>
      <c r="C275" s="13">
        <f>(+'[131]Feb08loa'!$H$10)/1000</f>
        <v>2090.174</v>
      </c>
      <c r="D275" s="13">
        <f>(+'[187]Feb08loa'!$H$19)/1000</f>
        <v>115.79</v>
      </c>
      <c r="E275" s="13">
        <f>(+'[187]Feb08loa'!$H$23)/1000</f>
        <v>109.78</v>
      </c>
      <c r="F275" s="49">
        <f>(+'[187]Feb08loa'!$I$25)/1000</f>
        <v>486.321</v>
      </c>
      <c r="G275" s="49">
        <f t="shared" si="25"/>
        <v>6529.058</v>
      </c>
      <c r="H275" s="13">
        <f>(+'[187]Feb08loa'!$H$30)/1000</f>
        <v>175.191</v>
      </c>
      <c r="I275" s="13">
        <f>(+'[187]Feb08loa'!$H$31+'[187]Feb08loa'!$H$32)/1000</f>
        <v>1930.389</v>
      </c>
      <c r="J275" s="13">
        <f>(+'[187]Feb08loa'!$H$33)/1000</f>
        <v>135.9</v>
      </c>
      <c r="K275" s="13">
        <f>(+'[187]Feb08loa'!$H$34)/1000</f>
        <v>124.874</v>
      </c>
      <c r="L275" s="13">
        <f>(+'[187]Feb08loa'!$H$35)/1000</f>
        <v>281.531</v>
      </c>
      <c r="M275" s="13">
        <f>(+'[187]Feb08loa'!$H$36)/1000</f>
        <v>318.741</v>
      </c>
      <c r="N275" s="13">
        <f>(+'[187]Feb08loa'!$H$37)/1000</f>
        <v>792.142</v>
      </c>
      <c r="O275" s="13">
        <f>(+'[187]Feb08loa'!$H$38)/1000</f>
        <v>300.602</v>
      </c>
      <c r="P275" s="13">
        <f>(+'[187]Feb08loa'!$H$39)/1000</f>
        <v>2469.688</v>
      </c>
      <c r="Q275" s="49">
        <f t="shared" si="26"/>
        <v>10192.048999999999</v>
      </c>
      <c r="R275" s="13">
        <f>(+'[187]Feb08loa'!$H$42)/1000</f>
        <v>9077.393</v>
      </c>
      <c r="S275" s="13">
        <f>(+'[187]Feb08loa'!$H$43)/1000</f>
        <v>809.561</v>
      </c>
      <c r="T275" s="13">
        <f>(+'[187]Feb08loa'!$H$44)/1000</f>
        <v>305.095</v>
      </c>
      <c r="U275" s="49">
        <f>(+'[187]Feb08loa'!$I$46)/1000</f>
        <v>628.611</v>
      </c>
      <c r="V275" s="49">
        <f t="shared" si="27"/>
        <v>8597.222</v>
      </c>
      <c r="W275" s="13">
        <f>(+'[187]Feb08loa'!$H$49)/1000</f>
        <v>4511.642</v>
      </c>
      <c r="X275" s="13">
        <f>(+'[187]Feb08loa'!$H$50)/1000</f>
        <v>23.885</v>
      </c>
      <c r="Y275" s="13">
        <f>(+'[187]Feb08loa'!$H$51)/1000</f>
        <v>4061.695</v>
      </c>
      <c r="Z275" s="49">
        <f>(+'[187]Feb08loa'!$I$53)/1000</f>
        <v>2807.452</v>
      </c>
      <c r="AA275" s="49">
        <f t="shared" si="28"/>
        <v>28819.902000000002</v>
      </c>
      <c r="AB275" s="13">
        <f>(+'[187]Feb08loa'!$H$56)/1000</f>
        <v>5184.004</v>
      </c>
      <c r="AC275" s="13">
        <f>(+'[187]Feb08loa'!$H$57)/1000</f>
        <v>0.344</v>
      </c>
      <c r="AD275" s="13">
        <f>(+'[187]Feb08loa'!$H$58)/1000</f>
        <v>10798.046</v>
      </c>
      <c r="AE275" s="13">
        <f>(+'[187]Feb08loa'!$H$59)/1000</f>
        <v>12837.508</v>
      </c>
      <c r="AF275" s="49">
        <f>(+'[187]Feb08loa'!$I$61)/1000</f>
        <v>18219.609</v>
      </c>
      <c r="AG275" s="49">
        <v>0</v>
      </c>
      <c r="AH275" s="49">
        <f>(+'[187]Feb08loa'!$I$63)/1000</f>
        <v>29881.718</v>
      </c>
      <c r="AI275" s="49">
        <f>(+'[187]Feb08loa'!$I$65)/1000</f>
        <v>292.215</v>
      </c>
      <c r="AJ275" s="49">
        <f>(+'[187]Feb08loa'!$I$67)/1000</f>
        <v>11509.014</v>
      </c>
      <c r="AK275" s="49">
        <f>(+'[187]Feb08loa'!$I$73)/1000</f>
        <v>75369.784</v>
      </c>
      <c r="AL275" s="49">
        <f>(+'[187]Feb08loa'!$I$77)/1000</f>
        <v>79.128</v>
      </c>
      <c r="AM275" s="14">
        <f t="shared" si="29"/>
        <v>195727.82699999996</v>
      </c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8"/>
      <c r="ED275" s="18"/>
      <c r="EE275" s="18"/>
      <c r="EF275" s="18"/>
      <c r="EG275" s="18"/>
      <c r="EH275" s="18"/>
      <c r="EI275" s="18"/>
      <c r="EJ275" s="18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</row>
    <row r="276" spans="1:159" s="19" customFormat="1" ht="15">
      <c r="A276" s="22">
        <v>39538</v>
      </c>
      <c r="B276" s="49">
        <f t="shared" si="24"/>
        <v>2201.9469999999997</v>
      </c>
      <c r="C276" s="13">
        <f>(+'[132]Mar08loa'!$H$10)/1000</f>
        <v>1973.985</v>
      </c>
      <c r="D276" s="13">
        <f>(+'[188]Mar08loa'!$H$19)/1000</f>
        <v>118.94</v>
      </c>
      <c r="E276" s="13">
        <f>(+'[188]Mar08loa'!$H$23)/1000</f>
        <v>109.022</v>
      </c>
      <c r="F276" s="49">
        <f>(+'[188]Mar08loa'!$I$25)/1000</f>
        <v>471.728</v>
      </c>
      <c r="G276" s="49">
        <f t="shared" si="25"/>
        <v>6549.994</v>
      </c>
      <c r="H276" s="13">
        <f>(+'[188]Mar08loa'!$H$30)/1000</f>
        <v>266.429</v>
      </c>
      <c r="I276" s="13">
        <f>(+'[188]Mar08loa'!$H$31+'[188]Mar08loa'!$H$32)/1000</f>
        <v>1886.716</v>
      </c>
      <c r="J276" s="13">
        <f>(+'[188]Mar08loa'!$H$33)/1000</f>
        <v>135.095</v>
      </c>
      <c r="K276" s="13">
        <f>(+'[188]Mar08loa'!$H$34)/1000</f>
        <v>114.059</v>
      </c>
      <c r="L276" s="13">
        <f>(+'[188]Mar08loa'!$H$35)/1000</f>
        <v>264.803</v>
      </c>
      <c r="M276" s="13">
        <f>(+'[188]Mar08loa'!$H$36)/1000</f>
        <v>320.875</v>
      </c>
      <c r="N276" s="13">
        <f>(+'[188]Mar08loa'!$H$37)/1000</f>
        <v>834.924</v>
      </c>
      <c r="O276" s="13">
        <f>(+'[188]Mar08loa'!$H$38)/1000</f>
        <v>322.168</v>
      </c>
      <c r="P276" s="13">
        <f>(+'[188]Mar08loa'!$H$39)/1000</f>
        <v>2404.925</v>
      </c>
      <c r="Q276" s="49">
        <f t="shared" si="26"/>
        <v>10031.487000000001</v>
      </c>
      <c r="R276" s="13">
        <f>(+'[188]Mar08loa'!$H$42)/1000</f>
        <v>8914.727</v>
      </c>
      <c r="S276" s="13">
        <f>(+'[188]Mar08loa'!$H$43)/1000</f>
        <v>826.081</v>
      </c>
      <c r="T276" s="13">
        <f>(+'[188]Mar08loa'!$H$44)/1000</f>
        <v>290.679</v>
      </c>
      <c r="U276" s="49">
        <f>(+'[188]Mar08loa'!$I$46)/1000</f>
        <v>590.287</v>
      </c>
      <c r="V276" s="49">
        <f t="shared" si="27"/>
        <v>8878.681</v>
      </c>
      <c r="W276" s="13">
        <f>(+'[188]Mar08loa'!$H$49)/1000</f>
        <v>4840.039</v>
      </c>
      <c r="X276" s="13">
        <f>(+'[188]Mar08loa'!$H$50)/1000</f>
        <v>39.941</v>
      </c>
      <c r="Y276" s="13">
        <f>(+'[188]Mar08loa'!$H$51)/1000</f>
        <v>3998.701</v>
      </c>
      <c r="Z276" s="49">
        <f>(+'[188]Mar08loa'!$I$53)/1000</f>
        <v>2801.323</v>
      </c>
      <c r="AA276" s="49">
        <f t="shared" si="28"/>
        <v>27054.399</v>
      </c>
      <c r="AB276" s="13">
        <f>(+'[188]Mar08loa'!$H$56)/1000</f>
        <v>3595.391</v>
      </c>
      <c r="AC276" s="13">
        <f>(+'[188]Mar08loa'!$H$57)/1000</f>
        <v>0.369</v>
      </c>
      <c r="AD276" s="13">
        <f>(+'[188]Mar08loa'!$H$58)/1000</f>
        <v>10560.805</v>
      </c>
      <c r="AE276" s="13">
        <f>(+'[188]Mar08loa'!$H$59)/1000</f>
        <v>12897.834</v>
      </c>
      <c r="AF276" s="49">
        <f>(+'[188]Mar08loa'!$I$61)/1000</f>
        <v>16789.607</v>
      </c>
      <c r="AG276" s="49">
        <v>0</v>
      </c>
      <c r="AH276" s="49">
        <f>(+'[188]Mar08loa'!$I$63)/1000</f>
        <v>28952.737</v>
      </c>
      <c r="AI276" s="49">
        <f>(+'[188]Mar08loa'!$I$65)/1000</f>
        <v>322.845</v>
      </c>
      <c r="AJ276" s="49">
        <f>(+'[188]Mar08loa'!$I$67)/1000</f>
        <v>12074.383</v>
      </c>
      <c r="AK276" s="49">
        <f>(+'[188]Mar08loa'!$I$73)/1000</f>
        <v>78048.185</v>
      </c>
      <c r="AL276" s="49">
        <f>(+'[188]Mar08loa'!$I$77)/1000</f>
        <v>79.399</v>
      </c>
      <c r="AM276" s="14">
        <f t="shared" si="29"/>
        <v>194847.002</v>
      </c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8"/>
      <c r="ED276" s="18"/>
      <c r="EE276" s="18"/>
      <c r="EF276" s="18"/>
      <c r="EG276" s="18"/>
      <c r="EH276" s="18"/>
      <c r="EI276" s="18"/>
      <c r="EJ276" s="18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</row>
    <row r="277" spans="1:159" s="19" customFormat="1" ht="15">
      <c r="A277" s="22">
        <v>39568</v>
      </c>
      <c r="B277" s="49">
        <f t="shared" si="24"/>
        <v>2185.7169999999996</v>
      </c>
      <c r="C277" s="13">
        <f>(+'[133]Apr08loa'!$H$10)/1000</f>
        <v>1974.56</v>
      </c>
      <c r="D277" s="13">
        <f>(+'[189]Apr08loa'!$H$19)/1000</f>
        <v>101.966</v>
      </c>
      <c r="E277" s="13">
        <f>(+'[189]Apr08loa'!$H$23)/1000</f>
        <v>109.191</v>
      </c>
      <c r="F277" s="49">
        <f>(+'[189]Apr08loa'!$I$25)/1000</f>
        <v>569.771</v>
      </c>
      <c r="G277" s="49">
        <f t="shared" si="25"/>
        <v>6424.900000000001</v>
      </c>
      <c r="H277" s="13">
        <f>(+'[189]Apr08loa'!$H$30)/1000</f>
        <v>251.649</v>
      </c>
      <c r="I277" s="13">
        <f>(+'[189]Apr08loa'!$H$31+'[189]Apr08loa'!$H$32)/1000</f>
        <v>2092.254</v>
      </c>
      <c r="J277" s="13">
        <f>(+'[189]Apr08loa'!$H$33)/1000</f>
        <v>136.601</v>
      </c>
      <c r="K277" s="13">
        <f>(+'[189]Apr08loa'!$H$34)/1000</f>
        <v>106.427</v>
      </c>
      <c r="L277" s="13">
        <f>(+'[189]Apr08loa'!$H$35)/1000</f>
        <v>265.431</v>
      </c>
      <c r="M277" s="13">
        <f>(+'[189]Apr08loa'!$H$36)/1000</f>
        <v>328.869</v>
      </c>
      <c r="N277" s="13">
        <f>(+'[189]Apr08loa'!$H$37)/1000</f>
        <v>684.179</v>
      </c>
      <c r="O277" s="13">
        <f>(+'[189]Apr08loa'!$H$38)/1000</f>
        <v>292.07</v>
      </c>
      <c r="P277" s="13">
        <f>(+'[189]Apr08loa'!$H$39)/1000</f>
        <v>2267.42</v>
      </c>
      <c r="Q277" s="49">
        <f t="shared" si="26"/>
        <v>10056.17</v>
      </c>
      <c r="R277" s="13">
        <f>(+'[189]Apr08loa'!$H$42)/1000</f>
        <v>8926.601</v>
      </c>
      <c r="S277" s="13">
        <f>(+'[189]Apr08loa'!$H$43)/1000</f>
        <v>842.382</v>
      </c>
      <c r="T277" s="13">
        <f>(+'[189]Apr08loa'!$H$44)/1000</f>
        <v>287.187</v>
      </c>
      <c r="U277" s="49">
        <f>(+'[189]Apr08loa'!$I$46)/1000</f>
        <v>587.138</v>
      </c>
      <c r="V277" s="49">
        <f t="shared" si="27"/>
        <v>10830.648000000001</v>
      </c>
      <c r="W277" s="13">
        <f>(+'[189]Apr08loa'!$H$49)/1000</f>
        <v>4663.89</v>
      </c>
      <c r="X277" s="13">
        <f>(+'[189]Apr08loa'!$H$50)/1000</f>
        <v>26.33</v>
      </c>
      <c r="Y277" s="13">
        <f>(+'[189]Apr08loa'!$H$51)/1000</f>
        <v>6140.428</v>
      </c>
      <c r="Z277" s="49">
        <f>(+'[189]Apr08loa'!$I$53)/1000</f>
        <v>3028.574</v>
      </c>
      <c r="AA277" s="49">
        <f t="shared" si="28"/>
        <v>29732.798000000003</v>
      </c>
      <c r="AB277" s="13">
        <f>(+'[189]Apr08loa'!$H$56)/1000</f>
        <v>3347.707</v>
      </c>
      <c r="AC277" s="13">
        <f>(+'[189]Apr08loa'!$H$57)/1000</f>
        <v>0.413</v>
      </c>
      <c r="AD277" s="13">
        <f>(+'[189]Apr08loa'!$H$58)/1000</f>
        <v>13045.388</v>
      </c>
      <c r="AE277" s="13">
        <f>(+'[189]Apr08loa'!$H$59)/1000</f>
        <v>13339.29</v>
      </c>
      <c r="AF277" s="49">
        <f>(+'[189]Apr08loa'!$I$61)/1000</f>
        <v>17121.32</v>
      </c>
      <c r="AG277" s="49">
        <v>0</v>
      </c>
      <c r="AH277" s="49">
        <f>(+'[189]Apr08loa'!$I$63)/1000</f>
        <v>30802.223</v>
      </c>
      <c r="AI277" s="49">
        <f>(+'[189]Apr08loa'!$I$65)/1000</f>
        <v>333.494</v>
      </c>
      <c r="AJ277" s="49">
        <f>(+'[189]Apr08loa'!$I$67)/1000</f>
        <v>12019.097</v>
      </c>
      <c r="AK277" s="49">
        <f>(+'[189]Apr08loa'!$I$73)/1000</f>
        <v>79300.709</v>
      </c>
      <c r="AL277" s="49">
        <f>(+'[189]Apr08loa'!$I$77)/1000</f>
        <v>79.234</v>
      </c>
      <c r="AM277" s="14">
        <f t="shared" si="29"/>
        <v>203071.793</v>
      </c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8"/>
      <c r="ED277" s="18"/>
      <c r="EE277" s="18"/>
      <c r="EF277" s="18"/>
      <c r="EG277" s="18"/>
      <c r="EH277" s="18"/>
      <c r="EI277" s="18"/>
      <c r="EJ277" s="18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</row>
    <row r="278" spans="1:159" s="19" customFormat="1" ht="15">
      <c r="A278" s="22">
        <v>39599</v>
      </c>
      <c r="B278" s="49">
        <f t="shared" si="24"/>
        <v>2316.569</v>
      </c>
      <c r="C278" s="13">
        <f>(+'[134]May08loa'!$H$10)/1000</f>
        <v>2103.877</v>
      </c>
      <c r="D278" s="13">
        <f>(+'[190]May08loa'!$H$19)/1000</f>
        <v>103.874</v>
      </c>
      <c r="E278" s="13">
        <f>(+'[190]May08loa'!$H$23)/1000</f>
        <v>108.818</v>
      </c>
      <c r="F278" s="49">
        <f>(+'[190]May08loa'!$I$25)/1000</f>
        <v>544.65</v>
      </c>
      <c r="G278" s="49">
        <f t="shared" si="25"/>
        <v>7318.168</v>
      </c>
      <c r="H278" s="13">
        <f>(+'[190]May08loa'!$H$30)/1000</f>
        <v>240.492</v>
      </c>
      <c r="I278" s="13">
        <f>(+'[190]May08loa'!$H$31+'[190]May08loa'!$H$32)/1000</f>
        <v>2730.75</v>
      </c>
      <c r="J278" s="13">
        <f>(+'[190]May08loa'!$H$33)/1000</f>
        <v>135.226</v>
      </c>
      <c r="K278" s="13">
        <f>(+'[190]May08loa'!$H$34)/1000</f>
        <v>120.883</v>
      </c>
      <c r="L278" s="13">
        <f>(+'[190]May08loa'!$H$35)/1000</f>
        <v>250.538</v>
      </c>
      <c r="M278" s="13">
        <f>(+'[190]May08loa'!$H$36)/1000</f>
        <v>340.996</v>
      </c>
      <c r="N278" s="13">
        <f>(+'[190]May08loa'!$H$37)/1000</f>
        <v>643.642</v>
      </c>
      <c r="O278" s="13">
        <f>(+'[190]May08loa'!$H$38)/1000</f>
        <v>284.173</v>
      </c>
      <c r="P278" s="13">
        <f>(+'[190]May08loa'!$H$39)/1000</f>
        <v>2571.468</v>
      </c>
      <c r="Q278" s="49">
        <f t="shared" si="26"/>
        <v>10678.513</v>
      </c>
      <c r="R278" s="13">
        <f>(+'[190]May08loa'!$H$42)/1000</f>
        <v>9445.304</v>
      </c>
      <c r="S278" s="13">
        <f>(+'[190]May08loa'!$H$43)/1000</f>
        <v>943.769</v>
      </c>
      <c r="T278" s="13">
        <f>(+'[190]May08loa'!$H$44)/1000</f>
        <v>289.44</v>
      </c>
      <c r="U278" s="49">
        <f>(+'[190]May08loa'!$I$46)/1000</f>
        <v>578.639</v>
      </c>
      <c r="V278" s="49">
        <f t="shared" si="27"/>
        <v>9918.465</v>
      </c>
      <c r="W278" s="13">
        <f>(+'[190]May08loa'!$H$49)/1000</f>
        <v>4626.23</v>
      </c>
      <c r="X278" s="13">
        <f>(+'[190]May08loa'!$H$50)/1000</f>
        <v>23.041</v>
      </c>
      <c r="Y278" s="13">
        <f>(+'[190]May08loa'!$H$51)/1000</f>
        <v>5269.194</v>
      </c>
      <c r="Z278" s="49">
        <f>(+'[190]May08loa'!$I$53)/1000</f>
        <v>3199.006</v>
      </c>
      <c r="AA278" s="49">
        <f t="shared" si="28"/>
        <v>30248.042</v>
      </c>
      <c r="AB278" s="13">
        <f>(+'[190]May08loa'!$H$56)/1000</f>
        <v>3333.409</v>
      </c>
      <c r="AC278" s="13">
        <f>(+'[190]May08loa'!$H$57)/1000</f>
        <v>0.061</v>
      </c>
      <c r="AD278" s="13">
        <f>(+'[190]May08loa'!$H$58)/1000</f>
        <v>13493.977</v>
      </c>
      <c r="AE278" s="13">
        <f>(+'[190]May08loa'!$H$59)/1000</f>
        <v>13420.595</v>
      </c>
      <c r="AF278" s="49">
        <f>(+'[190]May08loa'!$I$61)/1000</f>
        <v>18829.711</v>
      </c>
      <c r="AG278" s="49">
        <v>0</v>
      </c>
      <c r="AH278" s="49">
        <f>(+'[190]May08loa'!$I$63)/1000</f>
        <v>32252.382</v>
      </c>
      <c r="AI278" s="49">
        <f>(+'[190]May08loa'!$I$65)/1000</f>
        <v>331.189</v>
      </c>
      <c r="AJ278" s="49">
        <f>(+'[190]May08loa'!$I$67)/1000</f>
        <v>12723.418</v>
      </c>
      <c r="AK278" s="49">
        <f>(+'[190]May08loa'!$I$73)/1000</f>
        <v>78402.255</v>
      </c>
      <c r="AL278" s="49">
        <f>(+'[190]May08loa'!$I$77)/1000</f>
        <v>77.588</v>
      </c>
      <c r="AM278" s="14">
        <f t="shared" si="29"/>
        <v>207418.595</v>
      </c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8"/>
      <c r="ED278" s="18"/>
      <c r="EE278" s="18"/>
      <c r="EF278" s="18"/>
      <c r="EG278" s="18"/>
      <c r="EH278" s="18"/>
      <c r="EI278" s="18"/>
      <c r="EJ278" s="18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</row>
    <row r="279" spans="1:159" s="19" customFormat="1" ht="15">
      <c r="A279" s="22">
        <v>39629</v>
      </c>
      <c r="B279" s="49">
        <f t="shared" si="24"/>
        <v>3141.1929999999998</v>
      </c>
      <c r="C279" s="13">
        <f>(+'[135]Jun08loa'!$I$10)/1000</f>
        <v>2895.033</v>
      </c>
      <c r="D279" s="13">
        <f>(+'[191]Jun08loa'!$I$19)/1000</f>
        <v>136.961</v>
      </c>
      <c r="E279" s="13">
        <f>(+'[191]Jun08loa'!$I$23)/1000</f>
        <v>109.199</v>
      </c>
      <c r="F279" s="49">
        <f>(+'[191]Jun08loa'!$J$25)/1000</f>
        <v>615.424</v>
      </c>
      <c r="G279" s="49">
        <f t="shared" si="25"/>
        <v>9051.276</v>
      </c>
      <c r="H279" s="13">
        <f>(+'[191]Jun08loa'!$I$30)/1000</f>
        <v>482.754</v>
      </c>
      <c r="I279" s="13">
        <f>(+'[191]Jun08loa'!$I$31+'[191]Jun08loa'!$I$32)/1000</f>
        <v>3850.846</v>
      </c>
      <c r="J279" s="13">
        <f>(+'[191]Jun08loa'!$I$33)/1000</f>
        <v>131.943</v>
      </c>
      <c r="K279" s="13">
        <f>(+'[191]Jun08loa'!$I$34)/1000</f>
        <v>105.348</v>
      </c>
      <c r="L279" s="13">
        <f>(+'[191]Jun08loa'!$I$35)/1000</f>
        <v>257.579</v>
      </c>
      <c r="M279" s="13">
        <f>(+'[191]Jun08loa'!$I$36)/1000</f>
        <v>337.415</v>
      </c>
      <c r="N279" s="13">
        <f>(+'[191]Jun08loa'!$I$37)/1000</f>
        <v>587.992</v>
      </c>
      <c r="O279" s="13">
        <f>(+'[191]Jun08loa'!$I$38)/1000</f>
        <v>362.199</v>
      </c>
      <c r="P279" s="13">
        <f>(+'[191]Jun08loa'!$I$39)/1000</f>
        <v>2935.2</v>
      </c>
      <c r="Q279" s="49">
        <f t="shared" si="26"/>
        <v>11092.749</v>
      </c>
      <c r="R279" s="13">
        <f>(+'[191]Jun08loa'!$I$42)/1000</f>
        <v>9661.624</v>
      </c>
      <c r="S279" s="13">
        <f>(+'[191]Jun08loa'!$I$43)/1000</f>
        <v>1072.528</v>
      </c>
      <c r="T279" s="13">
        <f>(+'[191]Jun08loa'!$I$44)/1000</f>
        <v>358.597</v>
      </c>
      <c r="U279" s="49">
        <f>(+'[191]Jun08loa'!$J$46)/1000</f>
        <v>749.578</v>
      </c>
      <c r="V279" s="49">
        <f t="shared" si="27"/>
        <v>10493.793000000001</v>
      </c>
      <c r="W279" s="13">
        <f>(+'[191]Jun08loa'!$I$49)/1000</f>
        <v>4597.019</v>
      </c>
      <c r="X279" s="13">
        <f>(+'[191]Jun08loa'!$I$50)/1000</f>
        <v>19.988</v>
      </c>
      <c r="Y279" s="13">
        <f>(+'[191]Jun08loa'!$I$51)/1000</f>
        <v>5876.786</v>
      </c>
      <c r="Z279" s="49">
        <f>(+'[191]Jun08loa'!$J$53)/1000</f>
        <v>3857.274</v>
      </c>
      <c r="AA279" s="49">
        <f t="shared" si="28"/>
        <v>28606.989999999998</v>
      </c>
      <c r="AB279" s="13">
        <f>(+'[191]Jun08loa'!$I$56)/1000</f>
        <v>2793.623</v>
      </c>
      <c r="AC279" s="13">
        <f>(+'[191]Jun08loa'!$I$57)/1000</f>
        <v>0.036</v>
      </c>
      <c r="AD279" s="13">
        <f>(+'[191]Jun08loa'!$I$58)/1000</f>
        <v>12993.077</v>
      </c>
      <c r="AE279" s="13">
        <f>(+'[191]Jun08loa'!$I$59)/1000</f>
        <v>12820.254</v>
      </c>
      <c r="AF279" s="49">
        <f>(+'[191]Jun08loa'!$J$61)/1000</f>
        <v>20767.829</v>
      </c>
      <c r="AG279" s="49">
        <v>0</v>
      </c>
      <c r="AH279" s="49">
        <f>(+'[191]Jun08loa'!$J$63)/1000</f>
        <v>33020.798</v>
      </c>
      <c r="AI279" s="49">
        <f>(+'[191]Jun08loa'!$J$65)/1000</f>
        <v>417.84</v>
      </c>
      <c r="AJ279" s="49">
        <f>(+'[191]Jun08loa'!$J$67)/1000</f>
        <v>13866.545</v>
      </c>
      <c r="AK279" s="49">
        <f>(+'[191]Jun08loa'!$J$73)/1000</f>
        <v>79961.689</v>
      </c>
      <c r="AL279" s="49">
        <f>(+'[191]Jun08loa'!$J$77)/1000</f>
        <v>330.661</v>
      </c>
      <c r="AM279" s="14">
        <f t="shared" si="29"/>
        <v>215973.639</v>
      </c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8"/>
      <c r="ED279" s="18"/>
      <c r="EE279" s="18"/>
      <c r="EF279" s="18"/>
      <c r="EG279" s="18"/>
      <c r="EH279" s="18"/>
      <c r="EI279" s="18"/>
      <c r="EJ279" s="18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</row>
    <row r="280" spans="1:159" s="19" customFormat="1" ht="15">
      <c r="A280" s="22">
        <v>39660</v>
      </c>
      <c r="B280" s="49">
        <f t="shared" si="24"/>
        <v>3173.412</v>
      </c>
      <c r="C280" s="13">
        <f>(+'[136]Jul08loa'!$I$10)/1000</f>
        <v>2933.383</v>
      </c>
      <c r="D280" s="13">
        <f>(+'[192]Jul08loa'!$I$19)/1000</f>
        <v>130.932</v>
      </c>
      <c r="E280" s="13">
        <f>(+'[192]Jul08loa'!$I$23)/1000</f>
        <v>109.097</v>
      </c>
      <c r="F280" s="49">
        <f>(+'[192]Jul08loa'!$J$25)/1000</f>
        <v>629.26</v>
      </c>
      <c r="G280" s="49">
        <f t="shared" si="25"/>
        <v>9066.86</v>
      </c>
      <c r="H280" s="13">
        <f>(+'[192]Jul08loa'!$I$30)/1000</f>
        <v>375.541</v>
      </c>
      <c r="I280" s="13">
        <f>(+'[192]Jul08loa'!$I$31+'[192]Jul08loa'!$I$32)/1000</f>
        <v>3865.159</v>
      </c>
      <c r="J280" s="13">
        <f>(+'[192]Jul08loa'!$I$33)/1000</f>
        <v>126.299</v>
      </c>
      <c r="K280" s="13">
        <f>(+'[192]Jul08loa'!$I$34)/1000</f>
        <v>121.33</v>
      </c>
      <c r="L280" s="13">
        <f>(+'[192]Jul08loa'!$I$35)/1000</f>
        <v>262.951</v>
      </c>
      <c r="M280" s="13">
        <f>(+'[192]Jul08loa'!$I$36)/1000</f>
        <v>296.211</v>
      </c>
      <c r="N280" s="13">
        <f>(+'[192]Jul08loa'!$I$37)/1000</f>
        <v>579.215</v>
      </c>
      <c r="O280" s="13">
        <f>(+'[192]Jul08loa'!$I$38)/1000</f>
        <v>349.668</v>
      </c>
      <c r="P280" s="13">
        <f>(+'[192]Jul08loa'!$I$39)/1000</f>
        <v>3090.486</v>
      </c>
      <c r="Q280" s="49">
        <f t="shared" si="26"/>
        <v>11183.712</v>
      </c>
      <c r="R280" s="13">
        <f>(+'[192]Jul08loa'!$I$42)/1000</f>
        <v>9732.902</v>
      </c>
      <c r="S280" s="13">
        <f>(+'[192]Jul08loa'!$I$43)/1000</f>
        <v>1086.347</v>
      </c>
      <c r="T280" s="13">
        <f>(+'[192]Jul08loa'!$I$44)/1000</f>
        <v>364.463</v>
      </c>
      <c r="U280" s="49">
        <f>(+'[192]Jul08loa'!$J$46)/1000</f>
        <v>609.184</v>
      </c>
      <c r="V280" s="49">
        <f t="shared" si="27"/>
        <v>10608.283</v>
      </c>
      <c r="W280" s="13">
        <f>(+'[192]Jul08loa'!$I$49)/1000</f>
        <v>4567.323</v>
      </c>
      <c r="X280" s="13">
        <f>(+'[192]Jul08loa'!$I$50)/1000</f>
        <v>23.697</v>
      </c>
      <c r="Y280" s="13">
        <f>(+'[192]Jul08loa'!$I$51)/1000</f>
        <v>6017.263</v>
      </c>
      <c r="Z280" s="49">
        <f>(+'[192]Jul08loa'!$J$53)/1000</f>
        <v>3809.794</v>
      </c>
      <c r="AA280" s="49">
        <f t="shared" si="28"/>
        <v>27917.079</v>
      </c>
      <c r="AB280" s="13">
        <f>(+'[192]Jul08loa'!$I$56)/1000</f>
        <v>2704.253</v>
      </c>
      <c r="AC280" s="13">
        <f>(+'[192]Jul08loa'!$I$57)/1000</f>
        <v>0.036</v>
      </c>
      <c r="AD280" s="13">
        <f>(+'[192]Jul08loa'!$I$58)/1000</f>
        <v>12389.04</v>
      </c>
      <c r="AE280" s="13">
        <f>(+'[192]Jul08loa'!$I$59)/1000</f>
        <v>12823.75</v>
      </c>
      <c r="AF280" s="49">
        <f>(+'[192]Jul08loa'!$J$61)/1000</f>
        <v>26637.164</v>
      </c>
      <c r="AG280" s="49">
        <v>0</v>
      </c>
      <c r="AH280" s="49">
        <f>(+'[192]Jul08loa'!$J$63)/1000</f>
        <v>33792.522</v>
      </c>
      <c r="AI280" s="49">
        <f>(+'[192]Jul08loa'!$J$65)/1000</f>
        <v>364.132</v>
      </c>
      <c r="AJ280" s="49">
        <f>(+'[192]Jul08loa'!$J$67)/1000</f>
        <v>14808.839</v>
      </c>
      <c r="AK280" s="49">
        <f>(+'[192]Jul08loa'!$J$73)/1000</f>
        <v>80481.57</v>
      </c>
      <c r="AL280" s="49">
        <f>(+'[192]Jul08loa'!$J$77)/1000</f>
        <v>811.647</v>
      </c>
      <c r="AM280" s="14">
        <f t="shared" si="29"/>
        <v>223893.458</v>
      </c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8"/>
      <c r="ED280" s="18"/>
      <c r="EE280" s="18"/>
      <c r="EF280" s="18"/>
      <c r="EG280" s="18"/>
      <c r="EH280" s="18"/>
      <c r="EI280" s="18"/>
      <c r="EJ280" s="18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</row>
    <row r="281" spans="1:159" s="19" customFormat="1" ht="15">
      <c r="A281" s="22">
        <v>39691</v>
      </c>
      <c r="B281" s="49">
        <f t="shared" si="24"/>
        <v>3359.9600000000005</v>
      </c>
      <c r="C281" s="13">
        <f>(+'[137]Aug08loa'!$I$10)/1000</f>
        <v>3128.385</v>
      </c>
      <c r="D281" s="13">
        <f>(+'[193]Aug08loa'!$I$19)/1000</f>
        <v>122.478</v>
      </c>
      <c r="E281" s="13">
        <f>(+'[193]Aug08loa'!$I$23)/1000</f>
        <v>109.097</v>
      </c>
      <c r="F281" s="49">
        <f>(+'[193]Aug08loa'!$J$25)/1000</f>
        <v>647.7</v>
      </c>
      <c r="G281" s="49">
        <f t="shared" si="25"/>
        <v>9044.172</v>
      </c>
      <c r="H281" s="13">
        <f>(+'[193]Aug08loa'!$I$30)/1000</f>
        <v>373.378</v>
      </c>
      <c r="I281" s="13">
        <f>(+'[193]Aug08loa'!$I$31+'[193]Aug08loa'!$I$32)/1000</f>
        <v>3830.542</v>
      </c>
      <c r="J281" s="13">
        <f>(+'[193]Aug08loa'!$I$33)/1000</f>
        <v>114.575</v>
      </c>
      <c r="K281" s="13">
        <f>(+'[193]Aug08loa'!$I$34)/1000</f>
        <v>123.097</v>
      </c>
      <c r="L281" s="13">
        <f>(+'[193]Aug08loa'!$I$35)/1000</f>
        <v>258.189</v>
      </c>
      <c r="M281" s="13">
        <f>(+'[193]Aug08loa'!$I$36)/1000</f>
        <v>303.042</v>
      </c>
      <c r="N281" s="13">
        <f>(+'[193]Aug08loa'!$I$37)/1000</f>
        <v>717.792</v>
      </c>
      <c r="O281" s="13">
        <f>(+'[193]Aug08loa'!$I$38)/1000</f>
        <v>348.515</v>
      </c>
      <c r="P281" s="13">
        <f>(+'[193]Aug08loa'!$I$39)/1000</f>
        <v>2975.042</v>
      </c>
      <c r="Q281" s="49">
        <f t="shared" si="26"/>
        <v>11719.225999999999</v>
      </c>
      <c r="R281" s="13">
        <f>(+'[193]Aug08loa'!$I$42)/1000</f>
        <v>10291.884</v>
      </c>
      <c r="S281" s="13">
        <f>(+'[193]Aug08loa'!$I$43)/1000</f>
        <v>1065.577</v>
      </c>
      <c r="T281" s="13">
        <f>(+'[193]Aug08loa'!$I$44)/1000</f>
        <v>361.765</v>
      </c>
      <c r="U281" s="49">
        <f>(+'[193]Aug08loa'!$J$46)/1000</f>
        <v>738.313</v>
      </c>
      <c r="V281" s="49">
        <f t="shared" si="27"/>
        <v>10750.926</v>
      </c>
      <c r="W281" s="13">
        <f>(+'[193]Aug08loa'!$I$49)/1000</f>
        <v>4801.244</v>
      </c>
      <c r="X281" s="13">
        <f>(+'[193]Aug08loa'!$I$50)/1000</f>
        <v>21.666</v>
      </c>
      <c r="Y281" s="13">
        <f>(+'[193]Aug08loa'!$I$51)/1000</f>
        <v>5928.016</v>
      </c>
      <c r="Z281" s="49">
        <f>(+'[193]Aug08loa'!$J$53)/1000</f>
        <v>3374.631</v>
      </c>
      <c r="AA281" s="49">
        <f t="shared" si="28"/>
        <v>29382.194000000003</v>
      </c>
      <c r="AB281" s="13">
        <f>(+'[193]Aug08loa'!$I$56)/1000</f>
        <v>2603.504</v>
      </c>
      <c r="AC281" s="13">
        <f>(+'[193]Aug08loa'!$I$57)/1000</f>
        <v>0.046</v>
      </c>
      <c r="AD281" s="13">
        <f>(+'[193]Aug08loa'!$I$58)/1000</f>
        <v>13987.42</v>
      </c>
      <c r="AE281" s="13">
        <f>(+'[193]Aug08loa'!$I$59)/1000</f>
        <v>12791.224</v>
      </c>
      <c r="AF281" s="49">
        <f>(+'[193]Aug08loa'!$J$61)/1000</f>
        <v>21569.155</v>
      </c>
      <c r="AG281" s="49">
        <v>0</v>
      </c>
      <c r="AH281" s="49">
        <f>(+'[193]Aug08loa'!$J$63)/1000</f>
        <v>36513.796</v>
      </c>
      <c r="AI281" s="49">
        <f>(+'[193]Aug08loa'!$J$65)/1000</f>
        <v>374.513</v>
      </c>
      <c r="AJ281" s="49">
        <f>(+'[193]Aug08loa'!$J$67)/1000</f>
        <v>14946.535</v>
      </c>
      <c r="AK281" s="49">
        <f>(+'[193]Aug08loa'!$J$73)/1000</f>
        <v>81877.256</v>
      </c>
      <c r="AL281" s="49">
        <f>(+'[193]Aug08loa'!$J$77)/1000</f>
        <v>4768.63</v>
      </c>
      <c r="AM281" s="14">
        <f t="shared" si="29"/>
        <v>229067.007</v>
      </c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8"/>
      <c r="ED281" s="18"/>
      <c r="EE281" s="18"/>
      <c r="EF281" s="18"/>
      <c r="EG281" s="18"/>
      <c r="EH281" s="18"/>
      <c r="EI281" s="18"/>
      <c r="EJ281" s="18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</row>
    <row r="282" spans="1:159" s="19" customFormat="1" ht="15">
      <c r="A282" s="22">
        <v>39721</v>
      </c>
      <c r="B282" s="49">
        <f t="shared" si="24"/>
        <v>3457.4530000000004</v>
      </c>
      <c r="C282" s="13">
        <f>(+'[138]Sep08loa'!$I$10)/1000</f>
        <v>3246.364</v>
      </c>
      <c r="D282" s="13">
        <f>(+'[194]Sep08loa'!$I$19)/1000</f>
        <v>101.992</v>
      </c>
      <c r="E282" s="13">
        <f>(+'[194]Sep08loa'!$I$23)/1000</f>
        <v>109.097</v>
      </c>
      <c r="F282" s="49">
        <f>(+'[194]Sep08loa'!$J$25)/1000</f>
        <v>608.879</v>
      </c>
      <c r="G282" s="49">
        <f t="shared" si="25"/>
        <v>9212.301</v>
      </c>
      <c r="H282" s="13">
        <f>(+'[194]Sep08loa'!$I$30)/1000</f>
        <v>370.94</v>
      </c>
      <c r="I282" s="13">
        <f>(+'[194]Sep08loa'!$I$31+'[194]Sep08loa'!$I$32)/1000</f>
        <v>3822.638</v>
      </c>
      <c r="J282" s="13">
        <f>(+'[194]Sep08loa'!$I$33)/1000</f>
        <v>107.941</v>
      </c>
      <c r="K282" s="13">
        <f>(+'[194]Sep08loa'!$I$34)/1000</f>
        <v>112.934</v>
      </c>
      <c r="L282" s="13">
        <f>(+'[194]Sep08loa'!$I$35)/1000</f>
        <v>274.756</v>
      </c>
      <c r="M282" s="13">
        <f>(+'[194]Sep08loa'!$I$36)/1000</f>
        <v>295.196</v>
      </c>
      <c r="N282" s="13">
        <f>(+'[194]Sep08loa'!$I$37)/1000</f>
        <v>919.428</v>
      </c>
      <c r="O282" s="13">
        <f>(+'[194]Sep08loa'!$I$38)/1000</f>
        <v>352.468</v>
      </c>
      <c r="P282" s="13">
        <f>(+'[194]Sep08loa'!$I$39)/1000</f>
        <v>2956</v>
      </c>
      <c r="Q282" s="49">
        <f t="shared" si="26"/>
        <v>12086.321</v>
      </c>
      <c r="R282" s="13">
        <f>(+'[194]Sep08loa'!$I$42)/1000</f>
        <v>10631.139</v>
      </c>
      <c r="S282" s="13">
        <f>(+'[194]Sep08loa'!$I$43)/1000</f>
        <v>1095.022</v>
      </c>
      <c r="T282" s="13">
        <f>(+'[194]Sep08loa'!$I$44)/1000</f>
        <v>360.16</v>
      </c>
      <c r="U282" s="49">
        <f>(+'[194]Sep08loa'!$J$46)/1000</f>
        <v>764.319</v>
      </c>
      <c r="V282" s="49">
        <f t="shared" si="27"/>
        <v>11252.255000000001</v>
      </c>
      <c r="W282" s="13">
        <f>(+'[194]Sep08loa'!$I$49)/1000</f>
        <v>4856.957</v>
      </c>
      <c r="X282" s="13">
        <f>(+'[194]Sep08loa'!$I$50)/1000</f>
        <v>20.855</v>
      </c>
      <c r="Y282" s="13">
        <f>(+'[194]Sep08loa'!$I$51)/1000</f>
        <v>6374.443</v>
      </c>
      <c r="Z282" s="49">
        <f>(+'[194]Sep08loa'!$J$53)/1000</f>
        <v>3394.047</v>
      </c>
      <c r="AA282" s="49">
        <f t="shared" si="28"/>
        <v>30840.701</v>
      </c>
      <c r="AB282" s="13">
        <f>(+'[194]Sep08loa'!$I$56)/1000</f>
        <v>2625.057</v>
      </c>
      <c r="AC282" s="13">
        <f>(+'[194]Sep08loa'!$I$57)/1000</f>
        <v>2.853</v>
      </c>
      <c r="AD282" s="13">
        <f>(+'[194]Sep08loa'!$I$58)/1000</f>
        <v>15172.158</v>
      </c>
      <c r="AE282" s="13">
        <f>(+'[194]Sep08loa'!$I$59)/1000</f>
        <v>13040.633</v>
      </c>
      <c r="AF282" s="49">
        <f>(+'[194]Sep08loa'!$J$61)/1000</f>
        <v>22431.573</v>
      </c>
      <c r="AG282" s="49">
        <v>0</v>
      </c>
      <c r="AH282" s="49">
        <f>(+'[194]Sep08loa'!$J$63)/1000</f>
        <v>36127.134</v>
      </c>
      <c r="AI282" s="49">
        <f>(+'[194]Sep08loa'!$J$65)/1000</f>
        <v>382.709</v>
      </c>
      <c r="AJ282" s="49">
        <f>(+'[194]Sep08loa'!$J$67)/1000</f>
        <v>14919.713</v>
      </c>
      <c r="AK282" s="49">
        <f>(+'[194]Sep08loa'!$J$73)/1000</f>
        <v>82750.45</v>
      </c>
      <c r="AL282" s="49">
        <f>(+'[194]Sep08loa'!$J$77)/1000</f>
        <v>4893.056</v>
      </c>
      <c r="AM282" s="14">
        <f t="shared" si="29"/>
        <v>233120.911</v>
      </c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8"/>
      <c r="ED282" s="18"/>
      <c r="EE282" s="18"/>
      <c r="EF282" s="18"/>
      <c r="EG282" s="18"/>
      <c r="EH282" s="18"/>
      <c r="EI282" s="18"/>
      <c r="EJ282" s="18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</row>
    <row r="283" spans="1:159" s="19" customFormat="1" ht="15">
      <c r="A283" s="22">
        <v>39752</v>
      </c>
      <c r="B283" s="49">
        <f t="shared" si="24"/>
        <v>3635.597</v>
      </c>
      <c r="C283" s="13">
        <f>(+'[139]Oct08loa'!$I$10)/1000</f>
        <v>3337.609</v>
      </c>
      <c r="D283" s="13">
        <f>(+'[195]Oct08loa'!$I$19)/1000</f>
        <v>188.891</v>
      </c>
      <c r="E283" s="13">
        <f>(+'[195]Oct08loa'!$I$23)/1000</f>
        <v>109.097</v>
      </c>
      <c r="F283" s="49">
        <f>(+'[195]Oct08loa'!$J$25)/1000</f>
        <v>620.603</v>
      </c>
      <c r="G283" s="49">
        <f t="shared" si="25"/>
        <v>9920.449</v>
      </c>
      <c r="H283" s="13">
        <f>(+'[195]Oct08loa'!$I$30)/1000</f>
        <v>466.847</v>
      </c>
      <c r="I283" s="13">
        <f>(+'[195]Oct08loa'!$I$31+'[195]Oct08loa'!$I$32)/1000</f>
        <v>4253.034</v>
      </c>
      <c r="J283" s="13">
        <f>(+'[195]Oct08loa'!$I$33)/1000</f>
        <v>107.615</v>
      </c>
      <c r="K283" s="13">
        <f>(+'[195]Oct08loa'!$I$34)/1000</f>
        <v>100.845</v>
      </c>
      <c r="L283" s="13">
        <f>(+'[195]Oct08loa'!$I$35)/1000</f>
        <v>330.197</v>
      </c>
      <c r="M283" s="13">
        <f>(+'[195]Oct08loa'!$I$36)/1000</f>
        <v>312.759</v>
      </c>
      <c r="N283" s="13">
        <f>(+'[195]Oct08loa'!$I$37)/1000</f>
        <v>912.021</v>
      </c>
      <c r="O283" s="13">
        <f>(+'[195]Oct08loa'!$I$38)/1000</f>
        <v>391.261</v>
      </c>
      <c r="P283" s="13">
        <f>(+'[195]Oct08loa'!$I$39)/1000</f>
        <v>3045.87</v>
      </c>
      <c r="Q283" s="49">
        <f t="shared" si="26"/>
        <v>13028.701000000001</v>
      </c>
      <c r="R283" s="13">
        <f>(+'[195]Oct08loa'!$I$42)/1000</f>
        <v>11418.513</v>
      </c>
      <c r="S283" s="13">
        <f>(+'[195]Oct08loa'!$I$43)/1000</f>
        <v>1246.83</v>
      </c>
      <c r="T283" s="13">
        <f>(+'[195]Oct08loa'!$I$44)/1000</f>
        <v>363.358</v>
      </c>
      <c r="U283" s="49">
        <f>(+'[195]Oct08loa'!$J$46)/1000</f>
        <v>1138.809</v>
      </c>
      <c r="V283" s="49">
        <f t="shared" si="27"/>
        <v>11055.131</v>
      </c>
      <c r="W283" s="13">
        <f>(+'[195]Oct08loa'!$I$49)/1000</f>
        <v>4586.762</v>
      </c>
      <c r="X283" s="13">
        <f>(+'[195]Oct08loa'!$I$50)/1000</f>
        <v>30.253</v>
      </c>
      <c r="Y283" s="13">
        <f>(+'[195]Oct08loa'!$I$51)/1000</f>
        <v>6438.116</v>
      </c>
      <c r="Z283" s="49">
        <f>(+'[195]Oct08loa'!$J$53)/1000</f>
        <v>3169.695</v>
      </c>
      <c r="AA283" s="49">
        <f t="shared" si="28"/>
        <v>31493.578999999998</v>
      </c>
      <c r="AB283" s="13">
        <f>(+'[195]Oct08loa'!$I$56)/1000</f>
        <v>5347.824</v>
      </c>
      <c r="AC283" s="13">
        <f>(+'[195]Oct08loa'!$I$57)/1000</f>
        <v>3.301</v>
      </c>
      <c r="AD283" s="13">
        <f>(+'[195]Oct08loa'!$I$58)/1000</f>
        <v>15701.422</v>
      </c>
      <c r="AE283" s="13">
        <f>(+'[195]Oct08loa'!$I$59)/1000</f>
        <v>10441.032</v>
      </c>
      <c r="AF283" s="49">
        <f>(+'[195]Oct08loa'!$J$61)/1000</f>
        <v>22680.611</v>
      </c>
      <c r="AG283" s="49">
        <v>0</v>
      </c>
      <c r="AH283" s="49">
        <f>(+'[195]Oct08loa'!$J$63)/1000</f>
        <v>37741.023</v>
      </c>
      <c r="AI283" s="49">
        <f>(+'[195]Oct08loa'!$J$65)/1000</f>
        <v>418.241</v>
      </c>
      <c r="AJ283" s="49">
        <f>(+'[195]Oct08loa'!$J$67)/1000</f>
        <v>15413.072</v>
      </c>
      <c r="AK283" s="49">
        <f>(+'[195]Oct08loa'!$J$73)/1000</f>
        <v>83313.687</v>
      </c>
      <c r="AL283" s="49">
        <f>(+'[195]Oct08loa'!$J$77)/1000</f>
        <v>5781.609</v>
      </c>
      <c r="AM283" s="14">
        <f t="shared" si="29"/>
        <v>239410.807</v>
      </c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8"/>
      <c r="ED283" s="18"/>
      <c r="EE283" s="18"/>
      <c r="EF283" s="18"/>
      <c r="EG283" s="18"/>
      <c r="EH283" s="18"/>
      <c r="EI283" s="18"/>
      <c r="EJ283" s="18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</row>
    <row r="284" spans="1:159" s="19" customFormat="1" ht="15">
      <c r="A284" s="22">
        <v>39782</v>
      </c>
      <c r="B284" s="49">
        <f t="shared" si="24"/>
        <v>4538.32</v>
      </c>
      <c r="C284" s="13">
        <f>(+'[140]Nov08loa'!$I$10)/1000</f>
        <v>4286.139</v>
      </c>
      <c r="D284" s="13">
        <f>(+'[196]Nov08loa'!$I$19)/1000</f>
        <v>251.396</v>
      </c>
      <c r="E284" s="13">
        <f>(+'[196]Nov08loa'!$I$23)/1000</f>
        <v>0.785</v>
      </c>
      <c r="F284" s="49">
        <f>(+'[196]Nov08loa'!$J$25)/1000</f>
        <v>708.46</v>
      </c>
      <c r="G284" s="49">
        <f t="shared" si="25"/>
        <v>9769.026999999998</v>
      </c>
      <c r="H284" s="13">
        <f>(+'[196]Nov08loa'!$I$30)/1000</f>
        <v>362.631</v>
      </c>
      <c r="I284" s="13">
        <f>(+'[196]Nov08loa'!$I$31+'[196]Nov08loa'!$I$32)/1000</f>
        <v>4224.048</v>
      </c>
      <c r="J284" s="13">
        <f>(+'[196]Nov08loa'!$I$33)/1000</f>
        <v>101.739</v>
      </c>
      <c r="K284" s="13">
        <f>(+'[196]Nov08loa'!$I$34)/1000</f>
        <v>113.004</v>
      </c>
      <c r="L284" s="13">
        <f>(+'[196]Nov08loa'!$I$35)/1000</f>
        <v>279.719</v>
      </c>
      <c r="M284" s="13">
        <f>(+'[196]Nov08loa'!$I$36)/1000</f>
        <v>306.641</v>
      </c>
      <c r="N284" s="13">
        <f>(+'[196]Nov08loa'!$I$37)/1000</f>
        <v>983.233</v>
      </c>
      <c r="O284" s="13">
        <f>(+'[196]Nov08loa'!$I$38)/1000</f>
        <v>351.941</v>
      </c>
      <c r="P284" s="13">
        <f>(+'[196]Nov08loa'!$I$39)/1000</f>
        <v>3046.071</v>
      </c>
      <c r="Q284" s="49">
        <f t="shared" si="26"/>
        <v>13325.983999999999</v>
      </c>
      <c r="R284" s="13">
        <f>(+'[196]Nov08loa'!$I$42)/1000</f>
        <v>11709.265</v>
      </c>
      <c r="S284" s="13">
        <f>(+'[196]Nov08loa'!$I$43)/1000</f>
        <v>1263.131</v>
      </c>
      <c r="T284" s="13">
        <f>(+'[196]Nov08loa'!$I$44)/1000</f>
        <v>353.588</v>
      </c>
      <c r="U284" s="49">
        <f>(+'[196]Nov08loa'!$J$46)/1000</f>
        <v>1126.264</v>
      </c>
      <c r="V284" s="49">
        <f t="shared" si="27"/>
        <v>11240.234</v>
      </c>
      <c r="W284" s="13">
        <f>(+'[196]Nov08loa'!$I$49)/1000</f>
        <v>4634.382</v>
      </c>
      <c r="X284" s="13">
        <f>(+'[196]Nov08loa'!$I$50)/1000</f>
        <v>23.208</v>
      </c>
      <c r="Y284" s="13">
        <f>(+'[196]Nov08loa'!$I$51)/1000</f>
        <v>6582.644</v>
      </c>
      <c r="Z284" s="49">
        <f>(+'[196]Nov08loa'!$J$53)/1000</f>
        <v>3005.882</v>
      </c>
      <c r="AA284" s="49">
        <f t="shared" si="28"/>
        <v>30223.497</v>
      </c>
      <c r="AB284" s="13">
        <f>(+'[196]Nov08loa'!$I$56)/1000</f>
        <v>5813.678</v>
      </c>
      <c r="AC284" s="13">
        <f>(+'[196]Nov08loa'!$I$57)/1000</f>
        <v>5.077</v>
      </c>
      <c r="AD284" s="13">
        <f>(+'[196]Nov08loa'!$I$58)/1000</f>
        <v>15276.084</v>
      </c>
      <c r="AE284" s="13">
        <f>(+'[196]Nov08loa'!$I$59)/1000</f>
        <v>9128.658</v>
      </c>
      <c r="AF284" s="49">
        <f>(+'[196]Nov08loa'!$J$61)/1000</f>
        <v>22742.618</v>
      </c>
      <c r="AG284" s="49">
        <v>0</v>
      </c>
      <c r="AH284" s="49">
        <f>(+'[196]Nov08loa'!$J$63)/1000</f>
        <v>37919.561</v>
      </c>
      <c r="AI284" s="49">
        <f>(+'[196]Nov08loa'!$J$65)/1000</f>
        <v>413.333</v>
      </c>
      <c r="AJ284" s="49">
        <f>(+'[196]Nov08loa'!$J$67)/1000</f>
        <v>16302.784</v>
      </c>
      <c r="AK284" s="49">
        <f>(+'[196]Nov08loa'!$J$73)/1000</f>
        <v>84149.487</v>
      </c>
      <c r="AL284" s="49">
        <f>(+'[196]Nov08loa'!$J$77)/1000</f>
        <v>5810.739</v>
      </c>
      <c r="AM284" s="14">
        <f t="shared" si="29"/>
        <v>241276.19000000003</v>
      </c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8"/>
      <c r="ED284" s="18"/>
      <c r="EE284" s="18"/>
      <c r="EF284" s="18"/>
      <c r="EG284" s="18"/>
      <c r="EH284" s="18"/>
      <c r="EI284" s="18"/>
      <c r="EJ284" s="18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</row>
    <row r="285" spans="1:159" s="19" customFormat="1" ht="15">
      <c r="A285" s="22">
        <v>39813</v>
      </c>
      <c r="B285" s="49">
        <f t="shared" si="24"/>
        <v>4588.066000000001</v>
      </c>
      <c r="C285" s="13">
        <f>(+'[141]Dec08loa'!$I$10)/1000</f>
        <v>4349.087</v>
      </c>
      <c r="D285" s="13">
        <f>(+'[197]Dec08loa'!$I$19)/1000</f>
        <v>238.581</v>
      </c>
      <c r="E285" s="13">
        <f>(+'[197]Dec08loa'!$I$23)/1000</f>
        <v>0.398</v>
      </c>
      <c r="F285" s="49">
        <f>(+'[197]Dec08loa'!$J$25)/1000</f>
        <v>700.889</v>
      </c>
      <c r="G285" s="49">
        <f t="shared" si="25"/>
        <v>9302.646</v>
      </c>
      <c r="H285" s="13">
        <f>(+'[197]Dec08loa'!$I$30)/1000</f>
        <v>528.707</v>
      </c>
      <c r="I285" s="13">
        <f>(+'[197]Dec08loa'!$I$31+'[197]Dec08loa'!$I$32)/1000</f>
        <v>4238.414</v>
      </c>
      <c r="J285" s="13">
        <f>(+'[197]Dec08loa'!$I$33)/1000</f>
        <v>115.242</v>
      </c>
      <c r="K285" s="13">
        <f>(+'[197]Dec08loa'!$I$34)/1000</f>
        <v>113.905</v>
      </c>
      <c r="L285" s="13">
        <f>(+'[197]Dec08loa'!$I$35)/1000</f>
        <v>260.74</v>
      </c>
      <c r="M285" s="13">
        <f>(+'[197]Dec08loa'!$I$36)/1000</f>
        <v>345.183</v>
      </c>
      <c r="N285" s="13">
        <f>(+'[197]Dec08loa'!$I$37)/1000</f>
        <v>851.91</v>
      </c>
      <c r="O285" s="13">
        <f>(+'[197]Dec08loa'!$I$38)/1000</f>
        <v>337.751</v>
      </c>
      <c r="P285" s="13">
        <f>(+'[197]Dec08loa'!$I$39)/1000</f>
        <v>2510.794</v>
      </c>
      <c r="Q285" s="49">
        <f t="shared" si="26"/>
        <v>12902.117999999999</v>
      </c>
      <c r="R285" s="13">
        <f>(+'[197]Dec08loa'!$I$42)/1000</f>
        <v>11242.811</v>
      </c>
      <c r="S285" s="13">
        <f>(+'[197]Dec08loa'!$I$43)/1000</f>
        <v>1299.337</v>
      </c>
      <c r="T285" s="13">
        <f>(+'[197]Dec08loa'!$I$44)/1000</f>
        <v>359.97</v>
      </c>
      <c r="U285" s="49">
        <f>(+'[197]Dec08loa'!$J$46)/1000</f>
        <v>1160.368</v>
      </c>
      <c r="V285" s="49">
        <f t="shared" si="27"/>
        <v>11468.155999999999</v>
      </c>
      <c r="W285" s="13">
        <f>(+'[197]Dec08loa'!$I$49)/1000</f>
        <v>4621.757</v>
      </c>
      <c r="X285" s="13">
        <f>(+'[197]Dec08loa'!$I$50)/1000</f>
        <v>48.444</v>
      </c>
      <c r="Y285" s="13">
        <f>(+'[197]Dec08loa'!$I$51)/1000</f>
        <v>6797.955</v>
      </c>
      <c r="Z285" s="49">
        <f>(+'[197]Dec08loa'!$J$53)/1000</f>
        <v>3353.462</v>
      </c>
      <c r="AA285" s="49">
        <f t="shared" si="28"/>
        <v>30775.416999999998</v>
      </c>
      <c r="AB285" s="13">
        <f>(+'[197]Dec08loa'!$I$56)/1000</f>
        <v>5627.468</v>
      </c>
      <c r="AC285" s="13">
        <f>(+'[197]Dec08loa'!$I$57)/1000</f>
        <v>4.517</v>
      </c>
      <c r="AD285" s="13">
        <f>(+'[197]Dec08loa'!$I$58)/1000</f>
        <v>15790.131</v>
      </c>
      <c r="AE285" s="13">
        <f>(+'[197]Dec08loa'!$I$59)/1000</f>
        <v>9353.301</v>
      </c>
      <c r="AF285" s="49">
        <f>(+'[197]Dec08loa'!$J$61)/1000</f>
        <v>23099.567</v>
      </c>
      <c r="AG285" s="49">
        <v>0</v>
      </c>
      <c r="AH285" s="49">
        <f>(+'[197]Dec08loa'!$J$63)/1000</f>
        <v>40769.013</v>
      </c>
      <c r="AI285" s="49">
        <f>(+'[197]Dec08loa'!$J$65)/1000</f>
        <v>414.752</v>
      </c>
      <c r="AJ285" s="49">
        <f>(+'[197]Dec08loa'!$J$67)/1000</f>
        <v>16769.574</v>
      </c>
      <c r="AK285" s="49">
        <f>(+'[197]Dec08loa'!$J$73)/1000</f>
        <v>84877.324</v>
      </c>
      <c r="AL285" s="49">
        <f>(+'[197]Dec08loa'!$J$77)/1000</f>
        <v>5986.172</v>
      </c>
      <c r="AM285" s="14">
        <f t="shared" si="29"/>
        <v>246167.52399999998</v>
      </c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8"/>
      <c r="ED285" s="18"/>
      <c r="EE285" s="18"/>
      <c r="EF285" s="18"/>
      <c r="EG285" s="18"/>
      <c r="EH285" s="18"/>
      <c r="EI285" s="18"/>
      <c r="EJ285" s="18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</row>
    <row r="286" spans="1:159" s="19" customFormat="1" ht="15">
      <c r="A286" s="22">
        <v>39844</v>
      </c>
      <c r="B286" s="49">
        <f t="shared" si="24"/>
        <v>4683.981000000001</v>
      </c>
      <c r="C286" s="13">
        <f>(+'[142]Jan09loa'!$I$10)/1000</f>
        <v>4427.457</v>
      </c>
      <c r="D286" s="13">
        <f>(+'[142]Jan09loa'!$I$19)/1000</f>
        <v>256.126</v>
      </c>
      <c r="E286" s="13">
        <f>(+'[142]Jan09loa'!$I$23)/1000</f>
        <v>0.398</v>
      </c>
      <c r="F286" s="49">
        <f>(+'[142]Jan09loa'!$J$25)/1000</f>
        <v>645.325</v>
      </c>
      <c r="G286" s="49">
        <f t="shared" si="25"/>
        <v>9563.895999999999</v>
      </c>
      <c r="H286" s="13">
        <f>(+'[142]Jan09loa'!$I$30)/1000</f>
        <v>1444.452</v>
      </c>
      <c r="I286" s="13">
        <f>(+'[142]Jan09loa'!$I$31+'[142]Jan09loa'!$I$32)/1000</f>
        <v>3630.324</v>
      </c>
      <c r="J286" s="13">
        <f>(+'[142]Jan09loa'!$I$33)/1000</f>
        <v>126.347</v>
      </c>
      <c r="K286" s="13">
        <f>(+'[142]Jan09loa'!$I$34)/1000</f>
        <v>105.449</v>
      </c>
      <c r="L286" s="13">
        <f>(+'[142]Jan09loa'!$I$35)/1000</f>
        <v>343.681</v>
      </c>
      <c r="M286" s="13">
        <f>(+'[142]Jan09loa'!$I$36)/1000</f>
        <v>363.106</v>
      </c>
      <c r="N286" s="13">
        <f>(+'[142]Jan09loa'!$I$37)/1000</f>
        <v>750.368</v>
      </c>
      <c r="O286" s="13">
        <f>(+'[142]Jan09loa'!$I$38)/1000</f>
        <v>318.168</v>
      </c>
      <c r="P286" s="13">
        <f>(+'[142]Jan09loa'!$I$39)/1000</f>
        <v>2482.001</v>
      </c>
      <c r="Q286" s="49">
        <f t="shared" si="26"/>
        <v>14519.287</v>
      </c>
      <c r="R286" s="13">
        <f>(+'[142]Jan09loa'!$I$42)/1000</f>
        <v>12845.678</v>
      </c>
      <c r="S286" s="13">
        <f>(+'[142]Jan09loa'!$I$43)/1000</f>
        <v>1328.133</v>
      </c>
      <c r="T286" s="13">
        <f>(+'[142]Jan09loa'!$I$44)/1000</f>
        <v>345.476</v>
      </c>
      <c r="U286" s="49">
        <f>(+'[142]Jan09loa'!$J$46)/1000</f>
        <v>1203.801</v>
      </c>
      <c r="V286" s="49">
        <f t="shared" si="27"/>
        <v>12006.891</v>
      </c>
      <c r="W286" s="13">
        <f>(+'[142]Jan09loa'!$I$49)/1000</f>
        <v>4816.209</v>
      </c>
      <c r="X286" s="13">
        <f>(+'[142]Jan09loa'!$I$50)/1000</f>
        <v>35.952</v>
      </c>
      <c r="Y286" s="13">
        <f>(+'[142]Jan09loa'!$I$51)/1000</f>
        <v>7154.73</v>
      </c>
      <c r="Z286" s="49">
        <f>(+'[142]Jan09loa'!$J$53)/1000</f>
        <v>3458.538</v>
      </c>
      <c r="AA286" s="49">
        <f t="shared" si="28"/>
        <v>29177.499</v>
      </c>
      <c r="AB286" s="13">
        <f>(+'[142]Jan09loa'!$I$56)/1000</f>
        <v>5614.32</v>
      </c>
      <c r="AC286" s="13">
        <f>(+'[142]Jan09loa'!$I$57)/1000</f>
        <v>1.683</v>
      </c>
      <c r="AD286" s="13">
        <f>(+'[142]Jan09loa'!$I$58)/1000</f>
        <v>13681.589</v>
      </c>
      <c r="AE286" s="13">
        <f>(+'[142]Jan09loa'!$I$59)/1000</f>
        <v>9879.907</v>
      </c>
      <c r="AF286" s="49">
        <f>(+'[142]Jan09loa'!$J$61)/1000</f>
        <v>24972.094</v>
      </c>
      <c r="AG286" s="49">
        <v>0</v>
      </c>
      <c r="AH286" s="49">
        <f>(+'[142]Jan09loa'!$J$63)/1000</f>
        <v>42974.93</v>
      </c>
      <c r="AI286" s="49">
        <f>(+'[142]Jan09loa'!$J$65)/1000</f>
        <v>411.769</v>
      </c>
      <c r="AJ286" s="49">
        <f>(+'[142]Jan09loa'!$J$67)/1000</f>
        <v>17390.389</v>
      </c>
      <c r="AK286" s="49">
        <f>(+'[142]Jan09loa'!$J$73)/1000</f>
        <v>84550.789</v>
      </c>
      <c r="AL286" s="49">
        <f>(+'[142]Jan09loa'!$J$77)/1000</f>
        <v>6856.396</v>
      </c>
      <c r="AM286" s="14">
        <f t="shared" si="29"/>
        <v>252415.58500000002</v>
      </c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8"/>
      <c r="ED286" s="18"/>
      <c r="EE286" s="18"/>
      <c r="EF286" s="18"/>
      <c r="EG286" s="18"/>
      <c r="EH286" s="18"/>
      <c r="EI286" s="18"/>
      <c r="EJ286" s="18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</row>
    <row r="287" spans="1:159" s="19" customFormat="1" ht="15">
      <c r="A287" s="22">
        <v>39872</v>
      </c>
      <c r="B287" s="49">
        <f t="shared" si="24"/>
        <v>4690.152999999999</v>
      </c>
      <c r="C287" s="13">
        <f>(+'[143]Feb09loa'!$I$10)/1000</f>
        <v>4448.748</v>
      </c>
      <c r="D287" s="13">
        <f>(+'[143]Feb09loa'!$I$19)/1000</f>
        <v>241.007</v>
      </c>
      <c r="E287" s="13">
        <f>(+'[143]Feb09loa'!$I$23)/1000</f>
        <v>0.398</v>
      </c>
      <c r="F287" s="49">
        <f>(+'[143]Feb09loa'!$J$25)/1000</f>
        <v>617.104</v>
      </c>
      <c r="G287" s="49">
        <f t="shared" si="25"/>
        <v>9252.924</v>
      </c>
      <c r="H287" s="13">
        <f>(+'[143]Feb09loa'!$I$30)/1000</f>
        <v>1368.304</v>
      </c>
      <c r="I287" s="13">
        <f>(+'[143]Feb09loa'!$I$31+'[143]Feb09loa'!$I$32)/1000</f>
        <v>3669.197</v>
      </c>
      <c r="J287" s="13">
        <f>(+'[143]Feb09loa'!$I$33)/1000</f>
        <v>106.653</v>
      </c>
      <c r="K287" s="13">
        <f>(+'[143]Feb09loa'!$I$34)/1000</f>
        <v>104.654</v>
      </c>
      <c r="L287" s="13">
        <f>(+'[143]Feb09loa'!$I$35)/1000</f>
        <v>262.24</v>
      </c>
      <c r="M287" s="13">
        <f>(+'[143]Feb09loa'!$I$36)/1000</f>
        <v>419.569</v>
      </c>
      <c r="N287" s="13">
        <f>(+'[143]Feb09loa'!$I$37)/1000</f>
        <v>669.45</v>
      </c>
      <c r="O287" s="13">
        <f>(+'[143]Feb09loa'!$I$38)/1000</f>
        <v>254.584</v>
      </c>
      <c r="P287" s="13">
        <f>(+'[143]Feb09loa'!$I$39)/1000</f>
        <v>2398.273</v>
      </c>
      <c r="Q287" s="49">
        <f t="shared" si="26"/>
        <v>14648.177</v>
      </c>
      <c r="R287" s="13">
        <f>(+'[143]Feb09loa'!$I$42)/1000</f>
        <v>12879.916</v>
      </c>
      <c r="S287" s="13">
        <f>(+'[143]Feb09loa'!$I$43)/1000</f>
        <v>1373.856</v>
      </c>
      <c r="T287" s="13">
        <f>(+'[143]Feb09loa'!$I$44)/1000</f>
        <v>394.405</v>
      </c>
      <c r="U287" s="49">
        <f>(+'[143]Feb09loa'!$J$46)/1000</f>
        <v>1379.186</v>
      </c>
      <c r="V287" s="49">
        <f t="shared" si="27"/>
        <v>12470.408</v>
      </c>
      <c r="W287" s="13">
        <f>(+'[143]Feb09loa'!$I$49)/1000</f>
        <v>4915.781</v>
      </c>
      <c r="X287" s="13">
        <f>(+'[143]Feb09loa'!$I$50)/1000</f>
        <v>336.098</v>
      </c>
      <c r="Y287" s="13">
        <f>(+'[143]Feb09loa'!$I$51)/1000</f>
        <v>7218.529</v>
      </c>
      <c r="Z287" s="49">
        <f>(+'[143]Feb09loa'!$J$53)/1000</f>
        <v>3519.406</v>
      </c>
      <c r="AA287" s="49">
        <f t="shared" si="28"/>
        <v>33140.052</v>
      </c>
      <c r="AB287" s="13">
        <f>(+'[143]Feb09loa'!$I$56)/1000</f>
        <v>11230.963</v>
      </c>
      <c r="AC287" s="13">
        <f>(+'[143]Feb09loa'!$I$57)/1000</f>
        <v>0.894</v>
      </c>
      <c r="AD287" s="13">
        <f>(+'[143]Feb09loa'!$I$58)/1000</f>
        <v>13860.894</v>
      </c>
      <c r="AE287" s="13">
        <f>(+'[143]Feb09loa'!$I$59)/1000</f>
        <v>8047.301</v>
      </c>
      <c r="AF287" s="49">
        <f>(+'[143]Feb09loa'!$J$61)/1000</f>
        <v>25763.789</v>
      </c>
      <c r="AG287" s="49">
        <v>0</v>
      </c>
      <c r="AH287" s="49">
        <f>(+'[143]Feb09loa'!$J$63)/1000</f>
        <v>43944.955</v>
      </c>
      <c r="AI287" s="49">
        <f>(+'[143]Feb09loa'!$J$65)/1000</f>
        <v>403.148</v>
      </c>
      <c r="AJ287" s="49">
        <f>(+'[143]Feb09loa'!$J$67)/1000</f>
        <v>16717.067</v>
      </c>
      <c r="AK287" s="49">
        <f>(+'[143]Feb09loa'!$J$73)/1000</f>
        <v>85027.394</v>
      </c>
      <c r="AL287" s="49">
        <f>(+'[143]Feb09loa'!$J$77)/1000</f>
        <v>7013.197</v>
      </c>
      <c r="AM287" s="14">
        <f t="shared" si="29"/>
        <v>258586.96000000002</v>
      </c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8"/>
      <c r="ED287" s="18"/>
      <c r="EE287" s="18"/>
      <c r="EF287" s="18"/>
      <c r="EG287" s="18"/>
      <c r="EH287" s="18"/>
      <c r="EI287" s="18"/>
      <c r="EJ287" s="18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</row>
    <row r="288" spans="1:159" s="19" customFormat="1" ht="15">
      <c r="A288" s="22">
        <v>39903</v>
      </c>
      <c r="B288" s="49">
        <f t="shared" si="24"/>
        <v>4529.655</v>
      </c>
      <c r="C288" s="13">
        <f>(+'[144]Mar09loa'!$I$10)/1000</f>
        <v>4283.741</v>
      </c>
      <c r="D288" s="13">
        <f>(+'[144]Mar09loa'!$I$19)/1000</f>
        <v>245.516</v>
      </c>
      <c r="E288" s="13">
        <f>(+'[144]Mar09loa'!$I$23)/1000</f>
        <v>0.398</v>
      </c>
      <c r="F288" s="49">
        <f>(+'[144]Mar09loa'!$J$25)/1000</f>
        <v>634.135</v>
      </c>
      <c r="G288" s="49">
        <f t="shared" si="25"/>
        <v>9207.18</v>
      </c>
      <c r="H288" s="13">
        <f>(+'[144]Mar09loa'!$I$30)/1000</f>
        <v>1401.181</v>
      </c>
      <c r="I288" s="13">
        <f>(+'[144]Mar09loa'!$I$31+'[144]Mar09loa'!$I$32)/1000</f>
        <v>3685.604</v>
      </c>
      <c r="J288" s="13">
        <f>(+'[144]Mar09loa'!$I$33)/1000</f>
        <v>111.649</v>
      </c>
      <c r="K288" s="13">
        <f>(+'[144]Mar09loa'!$I$34)/1000</f>
        <v>127.625</v>
      </c>
      <c r="L288" s="13">
        <f>(+'[144]Mar09loa'!$I$35)/1000</f>
        <v>281.745</v>
      </c>
      <c r="M288" s="13">
        <f>(+'[144]Mar09loa'!$I$36)/1000</f>
        <v>411.48</v>
      </c>
      <c r="N288" s="13">
        <f>(+'[144]Mar09loa'!$I$37)/1000</f>
        <v>598.987</v>
      </c>
      <c r="O288" s="13">
        <f>(+'[144]Mar09loa'!$I$38)/1000</f>
        <v>234.989</v>
      </c>
      <c r="P288" s="13">
        <f>(+'[144]Mar09loa'!$I$39)/1000</f>
        <v>2353.92</v>
      </c>
      <c r="Q288" s="49">
        <f t="shared" si="26"/>
        <v>15115.804</v>
      </c>
      <c r="R288" s="13">
        <f>(+'[144]Mar09loa'!$I$42)/1000</f>
        <v>13539.553</v>
      </c>
      <c r="S288" s="13">
        <f>(+'[144]Mar09loa'!$I$43)/1000</f>
        <v>1184.308</v>
      </c>
      <c r="T288" s="13">
        <f>(+'[144]Mar09loa'!$I$44)/1000</f>
        <v>391.943</v>
      </c>
      <c r="U288" s="49">
        <f>(+'[144]Mar09loa'!$J$46)/1000</f>
        <v>1311.654</v>
      </c>
      <c r="V288" s="49">
        <f t="shared" si="27"/>
        <v>12376.851</v>
      </c>
      <c r="W288" s="13">
        <f>(+'[144]Mar09loa'!$I$49)/1000</f>
        <v>4871.591</v>
      </c>
      <c r="X288" s="13">
        <f>(+'[144]Mar09loa'!$I$50)/1000</f>
        <v>336.965</v>
      </c>
      <c r="Y288" s="13">
        <f>(+'[144]Mar09loa'!$I$51)/1000</f>
        <v>7168.295</v>
      </c>
      <c r="Z288" s="49">
        <f>(+'[144]Mar09loa'!$J$53)/1000</f>
        <v>3246.092</v>
      </c>
      <c r="AA288" s="49">
        <f t="shared" si="28"/>
        <v>34294.153999999995</v>
      </c>
      <c r="AB288" s="13">
        <f>(+'[144]Mar09loa'!$I$56)/1000</f>
        <v>11250.052</v>
      </c>
      <c r="AC288" s="13">
        <f>(+'[144]Mar09loa'!$I$57)/1000</f>
        <v>0.487</v>
      </c>
      <c r="AD288" s="13">
        <f>(+'[144]Mar09loa'!$I$58)/1000</f>
        <v>14251.752</v>
      </c>
      <c r="AE288" s="13">
        <f>(+'[144]Mar09loa'!$I$59)/1000</f>
        <v>8791.863</v>
      </c>
      <c r="AF288" s="49">
        <f>(+'[144]Mar09loa'!$J$61)/1000</f>
        <v>25099.278</v>
      </c>
      <c r="AG288" s="49">
        <v>0</v>
      </c>
      <c r="AH288" s="49">
        <f>(+'[144]Mar09loa'!$J$63)/1000</f>
        <v>44189.667</v>
      </c>
      <c r="AI288" s="49">
        <f>(+'[144]Mar09loa'!$J$65)/1000</f>
        <v>491.532</v>
      </c>
      <c r="AJ288" s="49">
        <f>(+'[144]Mar09loa'!$J$67)/1000</f>
        <v>17148.951</v>
      </c>
      <c r="AK288" s="49">
        <f>(+'[144]Mar09loa'!$J$73)/1000</f>
        <v>84456.186</v>
      </c>
      <c r="AL288" s="49">
        <f>(+'[144]Mar09loa'!$J$77)/1000</f>
        <v>7045.53</v>
      </c>
      <c r="AM288" s="14">
        <f t="shared" si="29"/>
        <v>259146.66899999997</v>
      </c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8"/>
      <c r="ED288" s="18"/>
      <c r="EE288" s="18"/>
      <c r="EF288" s="18"/>
      <c r="EG288" s="18"/>
      <c r="EH288" s="18"/>
      <c r="EI288" s="18"/>
      <c r="EJ288" s="18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</row>
    <row r="289" spans="1:159" s="19" customFormat="1" ht="15">
      <c r="A289" s="22">
        <v>39933</v>
      </c>
      <c r="B289" s="49">
        <f t="shared" si="24"/>
        <v>4761.576</v>
      </c>
      <c r="C289" s="13">
        <f>(+'[198]Apr09loa'!$I$10)/1000</f>
        <v>4235.188</v>
      </c>
      <c r="D289" s="13">
        <f>(+'[198]Apr09loa'!$I$19)/1000</f>
        <v>525.99</v>
      </c>
      <c r="E289" s="13">
        <f>(+'[198]Apr09loa'!$I$23)/1000</f>
        <v>0.398</v>
      </c>
      <c r="F289" s="49">
        <f>(+'[198]Apr09loa'!$J$25)/1000</f>
        <v>598.852</v>
      </c>
      <c r="G289" s="49">
        <f t="shared" si="25"/>
        <v>8684.493</v>
      </c>
      <c r="H289" s="13">
        <f>(+'[198]Apr09loa'!$I$30)/1000</f>
        <v>1068.883</v>
      </c>
      <c r="I289" s="13">
        <f>(+'[198]Apr09loa'!$I$31+'[198]Apr09loa'!$I$32)/1000</f>
        <v>3601.324</v>
      </c>
      <c r="J289" s="13">
        <f>(+'[198]Apr09loa'!$I$33)/1000</f>
        <v>110.157</v>
      </c>
      <c r="K289" s="13">
        <f>(+'[198]Apr09loa'!$I$34)/1000</f>
        <v>100.721</v>
      </c>
      <c r="L289" s="13">
        <f>(+'[198]Apr09loa'!$I$35)/1000</f>
        <v>327.656</v>
      </c>
      <c r="M289" s="13">
        <f>(+'[198]Apr09loa'!$I$36)/1000</f>
        <v>355.504</v>
      </c>
      <c r="N289" s="13">
        <f>(+'[198]Apr09loa'!$I$37)/1000</f>
        <v>555.651</v>
      </c>
      <c r="O289" s="13">
        <f>(+'[198]Apr09loa'!$I$38)/1000</f>
        <v>244.001</v>
      </c>
      <c r="P289" s="13">
        <f>(+'[198]Apr09loa'!$I$39)/1000</f>
        <v>2320.596</v>
      </c>
      <c r="Q289" s="49">
        <f t="shared" si="26"/>
        <v>14791.729</v>
      </c>
      <c r="R289" s="13">
        <f>(+'[198]Apr09loa'!$I$42)/1000</f>
        <v>13413.517</v>
      </c>
      <c r="S289" s="13">
        <f>(+'[198]Apr09loa'!$I$43)/1000</f>
        <v>1081.22</v>
      </c>
      <c r="T289" s="13">
        <f>(+'[198]Apr09loa'!$I$44)/1000</f>
        <v>296.992</v>
      </c>
      <c r="U289" s="49">
        <f>(+'[198]Apr09loa'!$J$46)/1000</f>
        <v>1172.685</v>
      </c>
      <c r="V289" s="49">
        <f t="shared" si="27"/>
        <v>12328.621</v>
      </c>
      <c r="W289" s="13">
        <f>(+'[198]Apr09loa'!$I$49)/1000</f>
        <v>4812.434</v>
      </c>
      <c r="X289" s="13">
        <f>(+'[198]Apr09loa'!$I$50)/1000</f>
        <v>328.942</v>
      </c>
      <c r="Y289" s="13">
        <f>(+'[198]Apr09loa'!$I$51)/1000</f>
        <v>7187.245</v>
      </c>
      <c r="Z289" s="49">
        <f>(+'[198]Apr09loa'!$J$53)/1000</f>
        <v>3556.435</v>
      </c>
      <c r="AA289" s="49">
        <f t="shared" si="28"/>
        <v>33260.865</v>
      </c>
      <c r="AB289" s="13">
        <f>(+'[198]Apr09loa'!$I$56)/1000</f>
        <v>10683.037</v>
      </c>
      <c r="AC289" s="13">
        <f>(+'[198]Apr09loa'!$I$57)/1000</f>
        <v>0.268</v>
      </c>
      <c r="AD289" s="13">
        <f>(+'[198]Apr09loa'!$I$58)/1000</f>
        <v>13672.802</v>
      </c>
      <c r="AE289" s="13">
        <f>(+'[198]Apr09loa'!$I$59)/1000</f>
        <v>8904.758</v>
      </c>
      <c r="AF289" s="49">
        <f>(+'[198]Apr09loa'!$J$61)/1000</f>
        <v>24976.576</v>
      </c>
      <c r="AG289" s="49">
        <v>0</v>
      </c>
      <c r="AH289" s="49">
        <f>(+'[198]Apr09loa'!$J$63)/1000</f>
        <v>44134.262</v>
      </c>
      <c r="AI289" s="49">
        <f>(+'[198]Apr09loa'!$J$65)/1000</f>
        <v>484.149</v>
      </c>
      <c r="AJ289" s="49">
        <f>(+'[198]Apr09loa'!$J$67)/1000</f>
        <v>16610.168</v>
      </c>
      <c r="AK289" s="49">
        <f>(+'[198]Apr09loa'!$J$73)/1000</f>
        <v>85653.468</v>
      </c>
      <c r="AL289" s="49">
        <f>(+'[198]Apr09loa'!$J$77)/1000</f>
        <v>7061.812</v>
      </c>
      <c r="AM289" s="14">
        <f t="shared" si="29"/>
        <v>258075.691</v>
      </c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8"/>
      <c r="ED289" s="18"/>
      <c r="EE289" s="18"/>
      <c r="EF289" s="18"/>
      <c r="EG289" s="18"/>
      <c r="EH289" s="18"/>
      <c r="EI289" s="18"/>
      <c r="EJ289" s="18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</row>
    <row r="290" spans="1:159" s="19" customFormat="1" ht="15">
      <c r="A290" s="22">
        <v>39964</v>
      </c>
      <c r="B290" s="49">
        <f t="shared" si="24"/>
        <v>3818.002</v>
      </c>
      <c r="C290" s="13">
        <f>(+'[145]May09loa'!$I$10)/1000</f>
        <v>3398.535</v>
      </c>
      <c r="D290" s="13">
        <f>(+'[199]May09loa'!$I$19)/1000</f>
        <v>419.069</v>
      </c>
      <c r="E290" s="13">
        <f>(+'[199]May09loa'!$I$23)/1000</f>
        <v>0.398</v>
      </c>
      <c r="F290" s="49">
        <f>(+'[199]May09loa'!$J$25)/1000</f>
        <v>601.971</v>
      </c>
      <c r="G290" s="49">
        <f t="shared" si="25"/>
        <v>9277.031</v>
      </c>
      <c r="H290" s="13">
        <f>(+'[199]May09loa'!$I$30)/1000</f>
        <v>1519.683</v>
      </c>
      <c r="I290" s="13">
        <f>(+'[199]May09loa'!$I$31+'[199]May09loa'!$I$32)/1000</f>
        <v>3806.989</v>
      </c>
      <c r="J290" s="13">
        <f>(+'[199]May09loa'!$I$33)/1000</f>
        <v>102.413</v>
      </c>
      <c r="K290" s="13">
        <f>(+'[199]May09loa'!$I$34)/1000</f>
        <v>117.949</v>
      </c>
      <c r="L290" s="13">
        <f>(+'[199]May09loa'!$I$35)/1000</f>
        <v>260.294</v>
      </c>
      <c r="M290" s="13">
        <f>(+'[199]May09loa'!$I$36)/1000</f>
        <v>391.466</v>
      </c>
      <c r="N290" s="13">
        <f>(+'[199]May09loa'!$I$37)/1000</f>
        <v>573.216</v>
      </c>
      <c r="O290" s="13">
        <f>(+'[199]May09loa'!$I$38)/1000</f>
        <v>257.478</v>
      </c>
      <c r="P290" s="13">
        <f>(+'[199]May09loa'!$I$39)/1000</f>
        <v>2247.543</v>
      </c>
      <c r="Q290" s="49">
        <f t="shared" si="26"/>
        <v>15316.802</v>
      </c>
      <c r="R290" s="13">
        <f>(+'[199]May09loa'!$I$42)/1000</f>
        <v>13844.28</v>
      </c>
      <c r="S290" s="13">
        <f>(+'[199]May09loa'!$I$43)/1000</f>
        <v>1159.16</v>
      </c>
      <c r="T290" s="13">
        <f>(+'[199]May09loa'!$I$44)/1000</f>
        <v>313.362</v>
      </c>
      <c r="U290" s="49">
        <f>(+'[199]May09loa'!$J$46)/1000</f>
        <v>1156.88</v>
      </c>
      <c r="V290" s="49">
        <f t="shared" si="27"/>
        <v>12325.612000000001</v>
      </c>
      <c r="W290" s="13">
        <f>(+'[199]May09loa'!$I$49)/1000</f>
        <v>4763.119</v>
      </c>
      <c r="X290" s="13">
        <f>(+'[199]May09loa'!$I$50)/1000</f>
        <v>328.886</v>
      </c>
      <c r="Y290" s="13">
        <f>(+'[199]May09loa'!$I$51)/1000</f>
        <v>7233.607</v>
      </c>
      <c r="Z290" s="49">
        <f>(+'[199]May09loa'!$J$53)/1000</f>
        <v>3315.925</v>
      </c>
      <c r="AA290" s="49">
        <f t="shared" si="28"/>
        <v>32731.862</v>
      </c>
      <c r="AB290" s="13">
        <f>(+'[199]May09loa'!$I$56)/1000</f>
        <v>14121.262</v>
      </c>
      <c r="AC290" s="13">
        <f>(+'[199]May09loa'!$I$57)/1000</f>
        <v>0.583</v>
      </c>
      <c r="AD290" s="13">
        <f>(+'[199]May09loa'!$I$58)/1000</f>
        <v>13045.66</v>
      </c>
      <c r="AE290" s="13">
        <f>(+'[199]May09loa'!$I$59)/1000</f>
        <v>5564.357</v>
      </c>
      <c r="AF290" s="49">
        <f>(+'[199]May09loa'!$J$61)/1000</f>
        <v>25009.699</v>
      </c>
      <c r="AG290" s="49">
        <v>0</v>
      </c>
      <c r="AH290" s="49">
        <f>(+'[199]May09loa'!$J$63)/1000</f>
        <v>43919.727</v>
      </c>
      <c r="AI290" s="49">
        <f>(+'[199]May09loa'!$J$65)/1000</f>
        <v>487.648</v>
      </c>
      <c r="AJ290" s="49">
        <f>(+'[199]May09loa'!$J$67)/1000</f>
        <v>17759.472</v>
      </c>
      <c r="AK290" s="49">
        <f>(+'[199]May09loa'!$J$73)/1000</f>
        <v>84130.961</v>
      </c>
      <c r="AL290" s="49">
        <f>(+'[199]May09loa'!$J$77)/1000</f>
        <v>7054.379</v>
      </c>
      <c r="AM290" s="14">
        <f t="shared" si="29"/>
        <v>256905.971</v>
      </c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8"/>
      <c r="ED290" s="18"/>
      <c r="EE290" s="18"/>
      <c r="EF290" s="18"/>
      <c r="EG290" s="18"/>
      <c r="EH290" s="18"/>
      <c r="EI290" s="18"/>
      <c r="EJ290" s="18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</row>
    <row r="291" spans="1:159" s="19" customFormat="1" ht="15">
      <c r="A291" s="22">
        <v>39994</v>
      </c>
      <c r="B291" s="49">
        <f t="shared" si="24"/>
        <v>4652.116</v>
      </c>
      <c r="C291" s="13">
        <f>(+'[206]Jun09loa'!$I$10)/1000</f>
        <v>4331.195</v>
      </c>
      <c r="D291" s="13">
        <f>(+'[146]Jun09loa'!$I$19)/1000</f>
        <v>320.523</v>
      </c>
      <c r="E291" s="13">
        <f>(+'[146]Jun09loa'!$I$23)/1000</f>
        <v>0.398</v>
      </c>
      <c r="F291" s="49">
        <f>(+'[146]Jun09loa'!$J$25)/1000</f>
        <v>558.886</v>
      </c>
      <c r="G291" s="49">
        <f t="shared" si="25"/>
        <v>9398.844000000001</v>
      </c>
      <c r="H291" s="13">
        <f>(+'[146]Jun09loa'!$I$30)/1000</f>
        <v>1318.504</v>
      </c>
      <c r="I291" s="13">
        <f>(+'[146]Jun09loa'!$I$31+'[146]Jun09loa'!$I$32)/1000</f>
        <v>3792.24</v>
      </c>
      <c r="J291" s="13">
        <f>(+'[146]Jun09loa'!$I$33)/1000</f>
        <v>105.97</v>
      </c>
      <c r="K291" s="13">
        <f>(+'[146]Jun09loa'!$I$34)/1000</f>
        <v>122.071</v>
      </c>
      <c r="L291" s="13">
        <f>(+'[146]Jun09loa'!$I$35)/1000</f>
        <v>307.144</v>
      </c>
      <c r="M291" s="13">
        <f>(+'[146]Jun09loa'!$I$36)/1000</f>
        <v>418.899</v>
      </c>
      <c r="N291" s="13">
        <f>(+'[146]Jun09loa'!$I$37)/1000</f>
        <v>747.232</v>
      </c>
      <c r="O291" s="13">
        <f>(+'[146]Jun09loa'!$I$38)/1000</f>
        <v>248.517</v>
      </c>
      <c r="P291" s="13">
        <f>(+'[146]Jun09loa'!$I$39)/1000</f>
        <v>2338.267</v>
      </c>
      <c r="Q291" s="49">
        <f t="shared" si="26"/>
        <v>15333.039999999999</v>
      </c>
      <c r="R291" s="13">
        <f>(+'[146]Jun09loa'!$I$42)/1000</f>
        <v>13881.966</v>
      </c>
      <c r="S291" s="13">
        <f>(+'[146]Jun09loa'!$I$43)/1000</f>
        <v>1142.495</v>
      </c>
      <c r="T291" s="13">
        <f>(+'[146]Jun09loa'!$I$44)/1000</f>
        <v>308.579</v>
      </c>
      <c r="U291" s="49">
        <f>(+'[146]Jun09loa'!$J$46)/1000</f>
        <v>1143.331</v>
      </c>
      <c r="V291" s="49">
        <f t="shared" si="27"/>
        <v>12230.376</v>
      </c>
      <c r="W291" s="13">
        <f>(+'[146]Jun09loa'!$I$49)/1000</f>
        <v>4782.91</v>
      </c>
      <c r="X291" s="13">
        <f>(+'[146]Jun09loa'!$I$50)/1000</f>
        <v>329.103</v>
      </c>
      <c r="Y291" s="13">
        <f>(+'[146]Jun09loa'!$I$51)/1000</f>
        <v>7118.363</v>
      </c>
      <c r="Z291" s="49">
        <f>(+'[146]Jun09loa'!$J$53)/1000</f>
        <v>3486.558</v>
      </c>
      <c r="AA291" s="49">
        <f t="shared" si="28"/>
        <v>34979.118</v>
      </c>
      <c r="AB291" s="13">
        <f>(+'[146]Jun09loa'!$I$56)/1000</f>
        <v>14147.453</v>
      </c>
      <c r="AC291" s="13">
        <f>(+'[146]Jun09loa'!$I$57)/1000</f>
        <v>0.406</v>
      </c>
      <c r="AD291" s="13">
        <f>(+'[146]Jun09loa'!$I$58)/1000</f>
        <v>15384.333</v>
      </c>
      <c r="AE291" s="13">
        <f>(+'[146]Jun09loa'!$I$59)/1000</f>
        <v>5446.926</v>
      </c>
      <c r="AF291" s="49">
        <f>(+'[146]Jun09loa'!$J$61)/1000</f>
        <v>25406.391</v>
      </c>
      <c r="AG291" s="49">
        <v>0</v>
      </c>
      <c r="AH291" s="49">
        <f>(+'[146]Jun09loa'!$J$63)/1000</f>
        <v>43645.896</v>
      </c>
      <c r="AI291" s="49">
        <f>(+'[146]Jun09loa'!$J$65)/1000</f>
        <v>490.621</v>
      </c>
      <c r="AJ291" s="49">
        <f>(+'[146]Jun09loa'!$J$67)/1000</f>
        <v>17334.047</v>
      </c>
      <c r="AK291" s="49">
        <f>(+'[146]Jun09loa'!$J$73)/1000</f>
        <v>83638.681</v>
      </c>
      <c r="AL291" s="49">
        <f>(+'[146]Jun09loa'!$J$77)/1000</f>
        <v>7042.663</v>
      </c>
      <c r="AM291" s="14">
        <f t="shared" si="29"/>
        <v>259340.56800000003</v>
      </c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8"/>
      <c r="ED291" s="18"/>
      <c r="EE291" s="18"/>
      <c r="EF291" s="18"/>
      <c r="EG291" s="18"/>
      <c r="EH291" s="18"/>
      <c r="EI291" s="18"/>
      <c r="EJ291" s="18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</row>
    <row r="292" spans="1:159" s="19" customFormat="1" ht="15">
      <c r="A292" s="22">
        <v>40025</v>
      </c>
      <c r="B292" s="49">
        <f t="shared" si="24"/>
        <v>4148.635</v>
      </c>
      <c r="C292" s="13">
        <f>(+'[212]Jul09loa'!$I$10)/1000</f>
        <v>3923.267</v>
      </c>
      <c r="D292" s="13">
        <f>(+'[147]Jul09loa'!$I$19)/1000</f>
        <v>224.81</v>
      </c>
      <c r="E292" s="13">
        <f>(+'[147]Jul09loa'!$I$23)/1000</f>
        <v>0.558</v>
      </c>
      <c r="F292" s="49">
        <f>(+'[147]Jul09loa'!$J$25)/1000</f>
        <v>1087.683</v>
      </c>
      <c r="G292" s="49">
        <f t="shared" si="25"/>
        <v>8600.580000000002</v>
      </c>
      <c r="H292" s="13">
        <f>(+'[147]Jul09loa'!$I$30)/1000</f>
        <v>1224.798</v>
      </c>
      <c r="I292" s="13">
        <f>(+'[147]Jul09loa'!$I$31+'[147]Jul09loa'!$I$32)/1000</f>
        <v>2832.744</v>
      </c>
      <c r="J292" s="13">
        <f>(+'[147]Jul09loa'!$I$33)/1000</f>
        <v>108.015</v>
      </c>
      <c r="K292" s="13">
        <f>(+'[147]Jul09loa'!$I$34)/1000</f>
        <v>162.737</v>
      </c>
      <c r="L292" s="13">
        <f>(+'[147]Jul09loa'!$I$35)/1000</f>
        <v>309.48</v>
      </c>
      <c r="M292" s="13">
        <f>(+'[147]Jul09loa'!$I$36)/1000</f>
        <v>400.763</v>
      </c>
      <c r="N292" s="13">
        <f>(+'[147]Jul09loa'!$I$37)/1000</f>
        <v>753.837</v>
      </c>
      <c r="O292" s="13">
        <f>(+'[147]Jul09loa'!$I$38)/1000</f>
        <v>220.286</v>
      </c>
      <c r="P292" s="13">
        <f>(+'[147]Jul09loa'!$I$39)/1000</f>
        <v>2587.92</v>
      </c>
      <c r="Q292" s="49">
        <f t="shared" si="26"/>
        <v>19169.418</v>
      </c>
      <c r="R292" s="13">
        <f>(+'[147]Jul09loa'!$I$42)/1000</f>
        <v>17723.896</v>
      </c>
      <c r="S292" s="13">
        <f>(+'[147]Jul09loa'!$I$43)/1000</f>
        <v>1137.073</v>
      </c>
      <c r="T292" s="13">
        <f>(+'[147]Jul09loa'!$I$44)/1000</f>
        <v>308.449</v>
      </c>
      <c r="U292" s="49">
        <f>(+'[147]Jul09loa'!$J$46)/1000</f>
        <v>1129.456</v>
      </c>
      <c r="V292" s="49">
        <f t="shared" si="27"/>
        <v>13131.448</v>
      </c>
      <c r="W292" s="13">
        <f>(+'[147]Jul09loa'!$I$49)/1000</f>
        <v>5741.98</v>
      </c>
      <c r="X292" s="13">
        <f>(+'[147]Jul09loa'!$I$50)/1000</f>
        <v>331.943</v>
      </c>
      <c r="Y292" s="13">
        <f>(+'[147]Jul09loa'!$I$51)/1000</f>
        <v>7057.525</v>
      </c>
      <c r="Z292" s="49">
        <f>(+'[147]Jul09loa'!$J$53)/1000</f>
        <v>3233.931</v>
      </c>
      <c r="AA292" s="49">
        <f t="shared" si="28"/>
        <v>34466.263000000006</v>
      </c>
      <c r="AB292" s="13">
        <f>(+'[147]Jul09loa'!$I$56)/1000</f>
        <v>13689.732</v>
      </c>
      <c r="AC292" s="13">
        <f>(+'[147]Jul09loa'!$I$57)/1000</f>
        <v>2.214</v>
      </c>
      <c r="AD292" s="13">
        <f>(+'[147]Jul09loa'!$I$58)/1000</f>
        <v>15596.155</v>
      </c>
      <c r="AE292" s="13">
        <f>(+'[147]Jul09loa'!$I$59)/1000</f>
        <v>5178.162</v>
      </c>
      <c r="AF292" s="49">
        <f>(+'[147]Jul09loa'!$J$61)/1000</f>
        <v>24896.364</v>
      </c>
      <c r="AG292" s="49">
        <v>0</v>
      </c>
      <c r="AH292" s="49">
        <f>(+'[147]Jul09loa'!$J$63)/1000</f>
        <v>41429.983</v>
      </c>
      <c r="AI292" s="49">
        <f>(+'[147]Jul09loa'!$J$65)/1000</f>
        <v>504.976</v>
      </c>
      <c r="AJ292" s="49">
        <f>(+'[147]Jul09loa'!$J$67)/1000</f>
        <v>16777.177</v>
      </c>
      <c r="AK292" s="49">
        <f>(+'[147]Jul09loa'!$J$73)/1000</f>
        <v>82695.897</v>
      </c>
      <c r="AL292" s="49">
        <f>(+'[147]Jul09loa'!$J$77)/1000</f>
        <v>7041.118</v>
      </c>
      <c r="AM292" s="14">
        <f t="shared" si="29"/>
        <v>258312.92899999997</v>
      </c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8"/>
      <c r="ED292" s="18"/>
      <c r="EE292" s="18"/>
      <c r="EF292" s="18"/>
      <c r="EG292" s="18"/>
      <c r="EH292" s="18"/>
      <c r="EI292" s="18"/>
      <c r="EJ292" s="18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</row>
    <row r="293" spans="1:159" s="19" customFormat="1" ht="15">
      <c r="A293" s="22">
        <v>40056</v>
      </c>
      <c r="B293" s="49">
        <f t="shared" si="24"/>
        <v>3813.3150000000005</v>
      </c>
      <c r="C293" s="13">
        <f>(+'[204]Aug09loa'!$I$10)/1000</f>
        <v>3663.791</v>
      </c>
      <c r="D293" s="13">
        <f>(+'[204]Aug09loa'!$I$19)/1000</f>
        <v>149.126</v>
      </c>
      <c r="E293" s="13">
        <f>(+'[204]Aug09loa'!$I$23)/1000</f>
        <v>0.398</v>
      </c>
      <c r="F293" s="49">
        <f>(+'[204]Aug09loa'!$J$25)/1000</f>
        <v>1102.695</v>
      </c>
      <c r="G293" s="49">
        <f t="shared" si="25"/>
        <v>9154.982</v>
      </c>
      <c r="H293" s="13">
        <f>(+'[204]Aug09loa'!$I$30)/1000</f>
        <v>1206.964</v>
      </c>
      <c r="I293" s="13">
        <f>(+'[204]Aug09loa'!$I$31+'[204]Aug09loa'!$I$32)/1000</f>
        <v>3283.973</v>
      </c>
      <c r="J293" s="13">
        <f>(+'[204]Aug09loa'!$I$33)/1000</f>
        <v>106.801</v>
      </c>
      <c r="K293" s="13">
        <f>(+'[204]Aug09loa'!$I$34)/1000</f>
        <v>151.356</v>
      </c>
      <c r="L293" s="13">
        <f>(+'[204]Aug09loa'!$I$35)/1000</f>
        <v>299.856</v>
      </c>
      <c r="M293" s="13">
        <f>(+'[204]Aug09loa'!$I$36)/1000</f>
        <v>401.619</v>
      </c>
      <c r="N293" s="13">
        <f>(+'[204]Aug09loa'!$I$37)/1000</f>
        <v>783.225</v>
      </c>
      <c r="O293" s="13">
        <f>(+'[204]Aug09loa'!$I$38)/1000</f>
        <v>224.599</v>
      </c>
      <c r="P293" s="13">
        <f>(+'[204]Aug09loa'!$I$39)/1000</f>
        <v>2696.589</v>
      </c>
      <c r="Q293" s="49">
        <f t="shared" si="26"/>
        <v>19004.839</v>
      </c>
      <c r="R293" s="13">
        <f>(+'[204]Aug09loa'!$I$42)/1000</f>
        <v>17583.257</v>
      </c>
      <c r="S293" s="13">
        <f>(+'[204]Aug09loa'!$I$43)/1000</f>
        <v>1122.066</v>
      </c>
      <c r="T293" s="13">
        <f>(+'[204]Aug09loa'!$I$44)/1000</f>
        <v>299.516</v>
      </c>
      <c r="U293" s="49">
        <f>(+'[204]Aug09loa'!$J$46)/1000</f>
        <v>1120.992</v>
      </c>
      <c r="V293" s="49">
        <f t="shared" si="27"/>
        <v>12350.145</v>
      </c>
      <c r="W293" s="13">
        <f>(+'[204]Aug09loa'!$I$49)/1000</f>
        <v>4732.691</v>
      </c>
      <c r="X293" s="13">
        <f>(+'[204]Aug09loa'!$I$50)/1000</f>
        <v>323.042</v>
      </c>
      <c r="Y293" s="13">
        <f>(+'[204]Aug09loa'!$I$51)/1000</f>
        <v>7294.412</v>
      </c>
      <c r="Z293" s="49">
        <f>(+'[204]Aug09loa'!$J$53)/1000</f>
        <v>3710.398</v>
      </c>
      <c r="AA293" s="49">
        <f t="shared" si="28"/>
        <v>35649.453</v>
      </c>
      <c r="AB293" s="13">
        <f>(+'[204]Aug09loa'!$I$56)/1000</f>
        <v>13502.856</v>
      </c>
      <c r="AC293" s="13">
        <f>(+'[204]Aug09loa'!$I$57)/1000</f>
        <v>1.619</v>
      </c>
      <c r="AD293" s="13">
        <f>(+'[204]Aug09loa'!$I$58)/1000</f>
        <v>20793.061</v>
      </c>
      <c r="AE293" s="13">
        <f>(+'[204]Aug09loa'!$I$59)/1000</f>
        <v>1351.917</v>
      </c>
      <c r="AF293" s="49">
        <f>(+'[204]Aug09loa'!$J$61)/1000</f>
        <v>24609.467</v>
      </c>
      <c r="AG293" s="49">
        <v>0</v>
      </c>
      <c r="AH293" s="49">
        <f>(+'[204]Aug09loa'!$J$63)/1000</f>
        <v>40957.661</v>
      </c>
      <c r="AI293" s="49">
        <f>(+'[204]Aug09loa'!$J$65)/1000</f>
        <v>491.596</v>
      </c>
      <c r="AJ293" s="49">
        <f>(+'[204]Aug09loa'!$J$67)/1000</f>
        <v>17386.726</v>
      </c>
      <c r="AK293" s="49">
        <f>(+'[204]Aug09loa'!$J$73)/1000</f>
        <v>83316.12</v>
      </c>
      <c r="AL293" s="49">
        <f>(+'[204]Aug09loa'!$J$77)/1000</f>
        <v>7033.59</v>
      </c>
      <c r="AM293" s="14">
        <f t="shared" si="29"/>
        <v>259701.97899999996</v>
      </c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8"/>
      <c r="ED293" s="18"/>
      <c r="EE293" s="18"/>
      <c r="EF293" s="18"/>
      <c r="EG293" s="18"/>
      <c r="EH293" s="18"/>
      <c r="EI293" s="18"/>
      <c r="EJ293" s="18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</row>
    <row r="294" spans="1:159" s="19" customFormat="1" ht="15">
      <c r="A294" s="22">
        <v>40086</v>
      </c>
      <c r="B294" s="49">
        <f t="shared" si="24"/>
        <v>4219.399</v>
      </c>
      <c r="C294" s="13">
        <f>(+'[148]Sep09loa'!$I$10)/1000</f>
        <v>4083.452</v>
      </c>
      <c r="D294" s="13">
        <f>(+'[205]Sep09loa'!$I$19)/1000</f>
        <v>135.549</v>
      </c>
      <c r="E294" s="13">
        <f>(+'[205]Sep09loa'!$I$23)/1000</f>
        <v>0.398</v>
      </c>
      <c r="F294" s="49">
        <f>(+'[205]Sep09loa'!$J$25)/1000</f>
        <v>826.266</v>
      </c>
      <c r="G294" s="49">
        <f t="shared" si="25"/>
        <v>8687.13</v>
      </c>
      <c r="H294" s="13">
        <f>(+'[205]Sep09loa'!$I$30)/1000</f>
        <v>1123.9</v>
      </c>
      <c r="I294" s="13">
        <f>(+'[205]Sep09loa'!$I$31+'[205]Sep09loa'!$I$32)/1000</f>
        <v>3269.584</v>
      </c>
      <c r="J294" s="13">
        <f>(+'[205]Sep09loa'!$I$33)/1000</f>
        <v>99.708</v>
      </c>
      <c r="K294" s="13">
        <f>(+'[205]Sep09loa'!$I$34)/1000</f>
        <v>117.985</v>
      </c>
      <c r="L294" s="13">
        <f>(+'[205]Sep09loa'!$I$35)/1000</f>
        <v>292.818</v>
      </c>
      <c r="M294" s="13">
        <f>(+'[205]Sep09loa'!$I$36)/1000</f>
        <v>274.626</v>
      </c>
      <c r="N294" s="13">
        <f>(+'[205]Sep09loa'!$I$37)/1000</f>
        <v>740.766</v>
      </c>
      <c r="O294" s="13">
        <f>(+'[205]Sep09loa'!$I$38)/1000</f>
        <v>131.375</v>
      </c>
      <c r="P294" s="13">
        <f>(+'[205]Sep09loa'!$I$39)/1000</f>
        <v>2636.368</v>
      </c>
      <c r="Q294" s="49">
        <f t="shared" si="26"/>
        <v>19375.796</v>
      </c>
      <c r="R294" s="13">
        <f>(+'[205]Sep09loa'!$I$42)/1000</f>
        <v>17970.514</v>
      </c>
      <c r="S294" s="13">
        <f>(+'[205]Sep09loa'!$I$43)/1000</f>
        <v>1115.661</v>
      </c>
      <c r="T294" s="13">
        <f>(+'[205]Sep09loa'!$I$44)/1000</f>
        <v>289.621</v>
      </c>
      <c r="U294" s="49">
        <f>(+'[205]Sep09loa'!$J$46)/1000</f>
        <v>1117.069</v>
      </c>
      <c r="V294" s="49">
        <f t="shared" si="27"/>
        <v>12080.748</v>
      </c>
      <c r="W294" s="13">
        <f>(+'[205]Sep09loa'!$I$49)/1000</f>
        <v>4745.556</v>
      </c>
      <c r="X294" s="13">
        <f>(+'[205]Sep09loa'!$I$50)/1000</f>
        <v>326.38</v>
      </c>
      <c r="Y294" s="13">
        <f>(+'[205]Sep09loa'!$I$51)/1000</f>
        <v>7008.812</v>
      </c>
      <c r="Z294" s="49">
        <f>(+'[205]Sep09loa'!$J$53)/1000</f>
        <v>4049.907</v>
      </c>
      <c r="AA294" s="49">
        <f t="shared" si="28"/>
        <v>34333.892</v>
      </c>
      <c r="AB294" s="13">
        <f>(+'[205]Sep09loa'!$I$56)/1000</f>
        <v>13017.698</v>
      </c>
      <c r="AC294" s="13">
        <f>(+'[205]Sep09loa'!$I$57)/1000</f>
        <v>6.195</v>
      </c>
      <c r="AD294" s="13">
        <f>(+'[205]Sep09loa'!$I$58)/1000</f>
        <v>19995.408</v>
      </c>
      <c r="AE294" s="13">
        <f>(+'[205]Sep09loa'!$I$59)/1000</f>
        <v>1314.591</v>
      </c>
      <c r="AF294" s="49">
        <f>(+'[205]Sep09loa'!$J$61)/1000</f>
        <v>23733.752</v>
      </c>
      <c r="AG294" s="49">
        <v>0</v>
      </c>
      <c r="AH294" s="49">
        <f>(+'[205]Sep09loa'!$J$63)/1000</f>
        <v>40717.503</v>
      </c>
      <c r="AI294" s="49">
        <f>(+'[205]Sep09loa'!$J$65)/1000</f>
        <v>504.614</v>
      </c>
      <c r="AJ294" s="49">
        <f>(+'[205]Sep09loa'!$J$67)/1000</f>
        <v>17101.268</v>
      </c>
      <c r="AK294" s="49">
        <f>(+'[205]Sep09loa'!$J$73)/1000</f>
        <v>83448.081</v>
      </c>
      <c r="AL294" s="49">
        <f>(+'[205]Sep09loa'!$J$77)/1000</f>
        <v>7031.976</v>
      </c>
      <c r="AM294" s="14">
        <f t="shared" si="29"/>
        <v>257227.401</v>
      </c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8"/>
      <c r="ED294" s="18"/>
      <c r="EE294" s="18"/>
      <c r="EF294" s="18"/>
      <c r="EG294" s="18"/>
      <c r="EH294" s="18"/>
      <c r="EI294" s="18"/>
      <c r="EJ294" s="18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</row>
    <row r="295" spans="1:159" s="19" customFormat="1" ht="15">
      <c r="A295" s="22">
        <v>40117</v>
      </c>
      <c r="B295" s="49">
        <f t="shared" si="24"/>
        <v>4217.162</v>
      </c>
      <c r="C295" s="13">
        <f>(+'[149]Oct09loa'!$I$10)/1000</f>
        <v>4094.685</v>
      </c>
      <c r="D295" s="13">
        <f>(+'[149]Oct09loa'!$I$19)/1000</f>
        <v>122.079</v>
      </c>
      <c r="E295" s="13">
        <f>(+'[149]Oct09loa'!$I$23)/1000</f>
        <v>0.398</v>
      </c>
      <c r="F295" s="49">
        <f>(+'[149]Oct09loa'!$J$25)/1000</f>
        <v>781.504</v>
      </c>
      <c r="G295" s="49">
        <f t="shared" si="25"/>
        <v>8642.234</v>
      </c>
      <c r="H295" s="13">
        <f>(+'[149]Oct09loa'!$I$30)/1000</f>
        <v>308.222</v>
      </c>
      <c r="I295" s="13">
        <f>(+'[149]Oct09loa'!$I$31+'[149]Oct09loa'!$I$32)/1000</f>
        <v>2657.592</v>
      </c>
      <c r="J295" s="13">
        <f>(+'[149]Oct09loa'!$I$33)/1000</f>
        <v>99.428</v>
      </c>
      <c r="K295" s="13">
        <f>(+'[149]Oct09loa'!$I$34)/1000</f>
        <v>143.679</v>
      </c>
      <c r="L295" s="13">
        <f>(+'[149]Oct09loa'!$I$35)/1000</f>
        <v>345.999</v>
      </c>
      <c r="M295" s="13">
        <f>(+'[149]Oct09loa'!$I$36)/1000</f>
        <v>282.524</v>
      </c>
      <c r="N295" s="13">
        <f>(+'[149]Oct09loa'!$I$37)/1000</f>
        <v>745.056</v>
      </c>
      <c r="O295" s="13">
        <f>(+'[149]Oct09loa'!$I$38)/1000</f>
        <v>1394.289</v>
      </c>
      <c r="P295" s="13">
        <f>(+'[149]Oct09loa'!$I$39)/1000</f>
        <v>2665.445</v>
      </c>
      <c r="Q295" s="49">
        <f t="shared" si="26"/>
        <v>20554.242</v>
      </c>
      <c r="R295" s="13">
        <f>(+'[149]Oct09loa'!$I$42)/1000</f>
        <v>19231.625</v>
      </c>
      <c r="S295" s="13">
        <f>(+'[149]Oct09loa'!$I$43)/1000</f>
        <v>1077.858</v>
      </c>
      <c r="T295" s="13">
        <f>(+'[149]Oct09loa'!$I$44)/1000</f>
        <v>244.759</v>
      </c>
      <c r="U295" s="49">
        <f>(+'[149]Oct09loa'!$J$46)/1000</f>
        <v>622.753</v>
      </c>
      <c r="V295" s="49">
        <f t="shared" si="27"/>
        <v>11816.167000000001</v>
      </c>
      <c r="W295" s="13">
        <f>(+'[149]Oct09loa'!$I$49)/1000</f>
        <v>4668.598</v>
      </c>
      <c r="X295" s="13">
        <f>(+'[149]Oct09loa'!$I$50)/1000</f>
        <v>325.403</v>
      </c>
      <c r="Y295" s="13">
        <f>(+'[149]Oct09loa'!$I$51)/1000</f>
        <v>6822.166</v>
      </c>
      <c r="Z295" s="49">
        <f>(+'[149]Oct09loa'!$J$53)/1000</f>
        <v>4243.362</v>
      </c>
      <c r="AA295" s="49">
        <f t="shared" si="28"/>
        <v>32689.254999999997</v>
      </c>
      <c r="AB295" s="13">
        <f>(+'[149]Oct09loa'!$I$56)/1000</f>
        <v>12747.886</v>
      </c>
      <c r="AC295" s="13">
        <f>(+'[149]Oct09loa'!$I$57)/1000</f>
        <v>4.979</v>
      </c>
      <c r="AD295" s="13">
        <f>(+'[149]Oct09loa'!$I$58)/1000</f>
        <v>18636.273</v>
      </c>
      <c r="AE295" s="13">
        <f>(+'[149]Oct09loa'!$I$59)/1000</f>
        <v>1300.117</v>
      </c>
      <c r="AF295" s="49">
        <f>(+'[149]Oct09loa'!$J$61)/1000</f>
        <v>23946.342</v>
      </c>
      <c r="AG295" s="49">
        <v>0</v>
      </c>
      <c r="AH295" s="49">
        <f>(+'[149]Oct09loa'!$J$63)/1000</f>
        <v>40194.987</v>
      </c>
      <c r="AI295" s="49">
        <f>(+'[149]Oct09loa'!$J$65)/1000</f>
        <v>506.8</v>
      </c>
      <c r="AJ295" s="49">
        <f>(+'[149]Oct09loa'!$J$67)/1000</f>
        <v>16951.151</v>
      </c>
      <c r="AK295" s="49">
        <f>(+'[149]Oct09loa'!$J$73)/1000</f>
        <v>83280.763</v>
      </c>
      <c r="AL295" s="49">
        <f>(+'[149]Oct09loa'!$J$77)/1000</f>
        <v>7042.401</v>
      </c>
      <c r="AM295" s="14">
        <f t="shared" si="29"/>
        <v>255489.12300000002</v>
      </c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8"/>
      <c r="ED295" s="18"/>
      <c r="EE295" s="18"/>
      <c r="EF295" s="18"/>
      <c r="EG295" s="18"/>
      <c r="EH295" s="18"/>
      <c r="EI295" s="18"/>
      <c r="EJ295" s="18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</row>
    <row r="296" spans="1:159" s="19" customFormat="1" ht="15">
      <c r="A296" s="22">
        <v>40147</v>
      </c>
      <c r="B296" s="49">
        <f t="shared" si="24"/>
        <v>4094.3390000000004</v>
      </c>
      <c r="C296" s="13">
        <f>(+'[150]Nov09loa'!$I$10)/1000</f>
        <v>3961.054</v>
      </c>
      <c r="D296" s="13">
        <f>(+'[200]Nov09loa'!$I$19)/1000</f>
        <v>132.887</v>
      </c>
      <c r="E296" s="13">
        <f>(+'[200]Nov09loa'!$I$23)/1000</f>
        <v>0.398</v>
      </c>
      <c r="F296" s="49">
        <f>(+'[200]Nov09loa'!$J$25)/1000</f>
        <v>759.587</v>
      </c>
      <c r="G296" s="49">
        <f t="shared" si="25"/>
        <v>8630.634</v>
      </c>
      <c r="H296" s="13">
        <f>(+'[200]Nov09loa'!$I$30)/1000</f>
        <v>281.025</v>
      </c>
      <c r="I296" s="13">
        <f>(+'[200]Nov09loa'!$I$31+'[200]Nov09loa'!$I$32)/1000</f>
        <v>2740.4</v>
      </c>
      <c r="J296" s="13">
        <f>(+'[200]Nov09loa'!$I$33)/1000</f>
        <v>108.21</v>
      </c>
      <c r="K296" s="13">
        <f>(+'[200]Nov09loa'!$I$34)/1000</f>
        <v>159.207</v>
      </c>
      <c r="L296" s="13">
        <f>(+'[200]Nov09loa'!$I$35)/1000</f>
        <v>468.737</v>
      </c>
      <c r="M296" s="13">
        <f>(+'[200]Nov09loa'!$I$36)/1000</f>
        <v>320.167</v>
      </c>
      <c r="N296" s="13">
        <f>(+'[200]Nov09loa'!$I$37)/1000</f>
        <v>823.4</v>
      </c>
      <c r="O296" s="13">
        <f>(+'[200]Nov09loa'!$I$38)/1000</f>
        <v>935.855</v>
      </c>
      <c r="P296" s="13">
        <f>(+'[200]Nov09loa'!$I$39)/1000</f>
        <v>2793.633</v>
      </c>
      <c r="Q296" s="49">
        <f t="shared" si="26"/>
        <v>20668.046000000002</v>
      </c>
      <c r="R296" s="13">
        <f>(+'[200]Nov09loa'!$I$42)/1000</f>
        <v>19233.467</v>
      </c>
      <c r="S296" s="13">
        <f>(+'[200]Nov09loa'!$I$43)/1000</f>
        <v>1185.811</v>
      </c>
      <c r="T296" s="13">
        <f>(+'[200]Nov09loa'!$I$44)/1000</f>
        <v>248.768</v>
      </c>
      <c r="U296" s="49">
        <f>(+'[200]Nov09loa'!$J$46)/1000</f>
        <v>1095.654</v>
      </c>
      <c r="V296" s="49">
        <f t="shared" si="27"/>
        <v>8506.393</v>
      </c>
      <c r="W296" s="13">
        <f>(+'[200]Nov09loa'!$I$49)/1000</f>
        <v>4502.581</v>
      </c>
      <c r="X296" s="13">
        <f>(+'[200]Nov09loa'!$I$50)/1000</f>
        <v>321.289</v>
      </c>
      <c r="Y296" s="13">
        <f>(+'[200]Nov09loa'!$I$51)/1000</f>
        <v>3682.523</v>
      </c>
      <c r="Z296" s="49">
        <f>(+'[200]Nov09loa'!$J$53)/1000</f>
        <v>4271.144</v>
      </c>
      <c r="AA296" s="49">
        <f t="shared" si="28"/>
        <v>34305.233</v>
      </c>
      <c r="AB296" s="13">
        <f>(+'[200]Nov09loa'!$I$56)/1000</f>
        <v>12766.34</v>
      </c>
      <c r="AC296" s="13">
        <f>(+'[200]Nov09loa'!$I$57)/1000</f>
        <v>6.863</v>
      </c>
      <c r="AD296" s="13">
        <f>(+'[200]Nov09loa'!$I$58)/1000</f>
        <v>20240.379</v>
      </c>
      <c r="AE296" s="13">
        <f>(+'[200]Nov09loa'!$I$59)/1000</f>
        <v>1291.651</v>
      </c>
      <c r="AF296" s="49">
        <f>(+'[200]Nov09loa'!$J$61)/1000</f>
        <v>24020.118</v>
      </c>
      <c r="AG296" s="49">
        <v>0</v>
      </c>
      <c r="AH296" s="49">
        <f>(+'[200]Nov09loa'!$J$63)/1000</f>
        <v>39694.865</v>
      </c>
      <c r="AI296" s="49">
        <f>(+'[200]Nov09loa'!$J$65)/1000</f>
        <v>542.618</v>
      </c>
      <c r="AJ296" s="49">
        <f>(+'[200]Nov09loa'!$J$67)/1000</f>
        <v>16489.401</v>
      </c>
      <c r="AK296" s="49">
        <f>(+'[200]Nov09loa'!$J$73)/1000</f>
        <v>83547.46</v>
      </c>
      <c r="AL296" s="49">
        <f>(+'[200]Nov09loa'!$J$77)/1000</f>
        <v>7057.609</v>
      </c>
      <c r="AM296" s="14">
        <f t="shared" si="29"/>
        <v>253683.10100000002</v>
      </c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8"/>
      <c r="ED296" s="18"/>
      <c r="EE296" s="18"/>
      <c r="EF296" s="18"/>
      <c r="EG296" s="18"/>
      <c r="EH296" s="18"/>
      <c r="EI296" s="18"/>
      <c r="EJ296" s="18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</row>
    <row r="297" spans="1:159" s="19" customFormat="1" ht="15">
      <c r="A297" s="22">
        <v>40178</v>
      </c>
      <c r="B297" s="49">
        <f t="shared" si="24"/>
        <v>5869.963</v>
      </c>
      <c r="C297" s="13">
        <f>(+'[151]Dec09loa'!$I$10)/1000</f>
        <v>5735.289</v>
      </c>
      <c r="D297" s="13">
        <f>(+'[201]Dec09loa'!$I$19)/1000</f>
        <v>134.276</v>
      </c>
      <c r="E297" s="13">
        <f>(+'[201]Dec09loa'!$I$23)/1000</f>
        <v>0.398</v>
      </c>
      <c r="F297" s="49">
        <f>(+'[201]Dec09loa'!$J$25)/1000</f>
        <v>432.276</v>
      </c>
      <c r="G297" s="49">
        <f t="shared" si="25"/>
        <v>9392.964</v>
      </c>
      <c r="H297" s="13">
        <f>(+'[201]Dec09loa'!$I$30)/1000</f>
        <v>422.804</v>
      </c>
      <c r="I297" s="13">
        <f>(+'[201]Dec09loa'!$I$31+'[201]Dec09loa'!$I$32)/1000</f>
        <v>2562.415</v>
      </c>
      <c r="J297" s="13">
        <f>(+'[201]Dec09loa'!$I$33)/1000</f>
        <v>132.431</v>
      </c>
      <c r="K297" s="13">
        <f>(+'[201]Dec09loa'!$I$34)/1000</f>
        <v>152.889</v>
      </c>
      <c r="L297" s="13">
        <f>(+'[201]Dec09loa'!$I$35)/1000</f>
        <v>465.735</v>
      </c>
      <c r="M297" s="13">
        <f>(+'[201]Dec09loa'!$I$36)/1000</f>
        <v>355.426</v>
      </c>
      <c r="N297" s="13">
        <f>(+'[201]Dec09loa'!$I$37)/1000</f>
        <v>1003.793</v>
      </c>
      <c r="O297" s="13">
        <f>(+'[201]Dec09loa'!$I$38)/1000</f>
        <v>943.525</v>
      </c>
      <c r="P297" s="13">
        <f>(+'[201]Dec09loa'!$I$39)/1000</f>
        <v>3353.946</v>
      </c>
      <c r="Q297" s="49">
        <f t="shared" si="26"/>
        <v>19909.36</v>
      </c>
      <c r="R297" s="13">
        <f>(+'[201]Dec09loa'!$I$42)/1000</f>
        <v>18433.556</v>
      </c>
      <c r="S297" s="13">
        <f>(+'[201]Dec09loa'!$I$43)/1000</f>
        <v>1239.189</v>
      </c>
      <c r="T297" s="13">
        <f>(+'[201]Dec09loa'!$I$44)/1000</f>
        <v>236.615</v>
      </c>
      <c r="U297" s="49">
        <f>(+'[201]Dec09loa'!$J$46)/1000</f>
        <v>1027.752</v>
      </c>
      <c r="V297" s="49">
        <f t="shared" si="27"/>
        <v>7810.982</v>
      </c>
      <c r="W297" s="13">
        <f>(+'[201]Dec09loa'!$I$49)/1000</f>
        <v>4600.52</v>
      </c>
      <c r="X297" s="13">
        <f>(+'[201]Dec09loa'!$I$50)/1000</f>
        <v>322.353</v>
      </c>
      <c r="Y297" s="13">
        <f>(+'[201]Dec09loa'!$I$51)/1000</f>
        <v>2888.109</v>
      </c>
      <c r="Z297" s="49">
        <f>(+'[201]Dec09loa'!$J$53)/1000</f>
        <v>4882.39</v>
      </c>
      <c r="AA297" s="49">
        <f t="shared" si="28"/>
        <v>33898.24</v>
      </c>
      <c r="AB297" s="13">
        <f>(+'[201]Dec09loa'!$I$56)/1000</f>
        <v>12639.417</v>
      </c>
      <c r="AC297" s="13">
        <f>(+'[201]Dec09loa'!$I$57)/1000</f>
        <v>6.982</v>
      </c>
      <c r="AD297" s="13">
        <f>(+'[201]Dec09loa'!$I$58)/1000</f>
        <v>19995.953</v>
      </c>
      <c r="AE297" s="13">
        <f>(+'[201]Dec09loa'!$I$59)/1000</f>
        <v>1255.888</v>
      </c>
      <c r="AF297" s="49">
        <f>(+'[201]Dec09loa'!$J$61)/1000</f>
        <v>25548.697</v>
      </c>
      <c r="AG297" s="49">
        <v>0</v>
      </c>
      <c r="AH297" s="49">
        <f>(+'[201]Dec09loa'!$J$63)/1000</f>
        <v>39649.517</v>
      </c>
      <c r="AI297" s="49">
        <f>(+'[201]Dec09loa'!$J$65)/1000</f>
        <v>530.921</v>
      </c>
      <c r="AJ297" s="49">
        <f>(+'[201]Dec09loa'!$J$67)/1000</f>
        <v>16675.299</v>
      </c>
      <c r="AK297" s="49">
        <f>(+'[201]Dec09loa'!$J$73)/1000</f>
        <v>83716.56</v>
      </c>
      <c r="AL297" s="49">
        <f>(+'[201]Dec09loa'!$J$77)/1000</f>
        <v>7044.941</v>
      </c>
      <c r="AM297" s="14">
        <f t="shared" si="29"/>
        <v>256389.862</v>
      </c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8"/>
      <c r="ED297" s="18"/>
      <c r="EE297" s="18"/>
      <c r="EF297" s="18"/>
      <c r="EG297" s="18"/>
      <c r="EH297" s="18"/>
      <c r="EI297" s="18"/>
      <c r="EJ297" s="18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</row>
    <row r="298" spans="1:159" s="19" customFormat="1" ht="15">
      <c r="A298" s="22">
        <v>40209</v>
      </c>
      <c r="B298" s="49">
        <f t="shared" si="24"/>
        <v>5894.242</v>
      </c>
      <c r="C298" s="13">
        <f>(+'[4]Jan10loa'!$I$10)/1000</f>
        <v>5764.449</v>
      </c>
      <c r="D298" s="13">
        <f>(+'[4]Jan10loa'!$I$19)/1000</f>
        <v>129.395</v>
      </c>
      <c r="E298" s="13">
        <f>(+'[4]Jan10loa'!$I$23)/1000</f>
        <v>0.398</v>
      </c>
      <c r="F298" s="49">
        <f>(+'[4]Jan10loa'!$J$25)/1000</f>
        <v>360.178</v>
      </c>
      <c r="G298" s="49">
        <f t="shared" si="25"/>
        <v>9144.708</v>
      </c>
      <c r="H298" s="13">
        <f>(+'[4]Jan10loa'!$I$30)/1000</f>
        <v>307.942</v>
      </c>
      <c r="I298" s="13">
        <f>(+'[4]Jan10loa'!$I$31+'[4]Jan10loa'!$I$32)/1000</f>
        <v>2586.726</v>
      </c>
      <c r="J298" s="13">
        <f>(+'[4]Jan10loa'!$I$33)/1000</f>
        <v>116.654</v>
      </c>
      <c r="K298" s="13">
        <f>(+'[4]Jan10loa'!$I$34)/1000</f>
        <v>161.989</v>
      </c>
      <c r="L298" s="13">
        <f>(+'[4]Jan10loa'!$I$35)/1000</f>
        <v>456.544</v>
      </c>
      <c r="M298" s="13">
        <f>(+'[4]Jan10loa'!$I$36)/1000</f>
        <v>345.213</v>
      </c>
      <c r="N298" s="13">
        <f>(+'[4]Jan10loa'!$I$37)/1000</f>
        <v>993.992</v>
      </c>
      <c r="O298" s="13">
        <f>(+'[4]Jan10loa'!$I$38)/1000</f>
        <v>863.045</v>
      </c>
      <c r="P298" s="13">
        <f>(+'[4]Jan10loa'!$I$39)/1000</f>
        <v>3312.603</v>
      </c>
      <c r="Q298" s="49">
        <f t="shared" si="26"/>
        <v>16655.615</v>
      </c>
      <c r="R298" s="13">
        <f>(+'[4]Jan10loa'!$I$42)/1000</f>
        <v>15193.395</v>
      </c>
      <c r="S298" s="13">
        <f>(+'[4]Jan10loa'!$I$43)/1000</f>
        <v>1238.768</v>
      </c>
      <c r="T298" s="13">
        <f>(+'[4]Jan10loa'!$I$44)/1000</f>
        <v>223.452</v>
      </c>
      <c r="U298" s="49">
        <f>(+'[4]Jan10loa'!$J$46)/1000</f>
        <v>975.413</v>
      </c>
      <c r="V298" s="49">
        <f t="shared" si="27"/>
        <v>7687.637000000001</v>
      </c>
      <c r="W298" s="13">
        <f>(+'[4]Jan10loa'!$I$49)/1000</f>
        <v>4521.77</v>
      </c>
      <c r="X298" s="13">
        <f>(+'[4]Jan10loa'!$I$50)/1000</f>
        <v>317.309</v>
      </c>
      <c r="Y298" s="13">
        <f>(+'[4]Jan10loa'!$I$51)/1000</f>
        <v>2848.558</v>
      </c>
      <c r="Z298" s="49">
        <f>(+'[4]Jan10loa'!$J$53)/1000</f>
        <v>4695.374</v>
      </c>
      <c r="AA298" s="49">
        <f t="shared" si="28"/>
        <v>36109.846</v>
      </c>
      <c r="AB298" s="13">
        <f>(+'[4]Jan10loa'!$I$56)/1000</f>
        <v>16044.544</v>
      </c>
      <c r="AC298" s="13">
        <f>(+'[4]Jan10loa'!$I$57)/1000</f>
        <v>3.879</v>
      </c>
      <c r="AD298" s="13">
        <f>(+'[4]Jan10loa'!$I$58)/1000</f>
        <v>18824.329</v>
      </c>
      <c r="AE298" s="13">
        <f>(+'[4]Jan10loa'!$I$59)/1000</f>
        <v>1237.094</v>
      </c>
      <c r="AF298" s="49">
        <f>(+'[4]Jan10loa'!$J$61)/1000</f>
        <v>23810.142</v>
      </c>
      <c r="AG298" s="49">
        <v>0</v>
      </c>
      <c r="AH298" s="49">
        <f>(+'[4]Jan10loa'!$J$63)/1000</f>
        <v>39793.815</v>
      </c>
      <c r="AI298" s="49">
        <f>(+'[4]Jan10loa'!$J$65)/1000</f>
        <v>545.85</v>
      </c>
      <c r="AJ298" s="49">
        <f>(+'[4]Jan10loa'!$J$67)/1000</f>
        <v>16821.55</v>
      </c>
      <c r="AK298" s="49">
        <f>(+'[4]Jan10loa'!$J$73)/1000</f>
        <v>82836.284</v>
      </c>
      <c r="AL298" s="49">
        <f>(+'[4]Jan10loa'!$J$77)/1000</f>
        <v>7041.876</v>
      </c>
      <c r="AM298" s="14">
        <f t="shared" si="29"/>
        <v>252372.52999999997</v>
      </c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8"/>
      <c r="ED298" s="18"/>
      <c r="EE298" s="18"/>
      <c r="EF298" s="18"/>
      <c r="EG298" s="18"/>
      <c r="EH298" s="18"/>
      <c r="EI298" s="18"/>
      <c r="EJ298" s="18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</row>
    <row r="299" spans="1:159" s="19" customFormat="1" ht="15">
      <c r="A299" s="22">
        <v>40237</v>
      </c>
      <c r="B299" s="49">
        <f t="shared" si="24"/>
        <v>6222.827</v>
      </c>
      <c r="C299" s="13">
        <f>(+'[5]Feb10loa'!$I$10)/1000</f>
        <v>6083.235</v>
      </c>
      <c r="D299" s="13">
        <f>(+'[5]Feb10loa'!$I$19)/1000</f>
        <v>139.194</v>
      </c>
      <c r="E299" s="13">
        <f>(+'[5]Feb10loa'!$I$23)/1000</f>
        <v>0.398</v>
      </c>
      <c r="F299" s="49">
        <f>(+'[5]Feb10loa'!$J$25)/1000</f>
        <v>353.767</v>
      </c>
      <c r="G299" s="49">
        <f t="shared" si="25"/>
        <v>9035.627</v>
      </c>
      <c r="H299" s="13">
        <f>(+'[5]Feb10loa'!$I$30)/1000</f>
        <v>298.928</v>
      </c>
      <c r="I299" s="13">
        <f>(+'[5]Feb10loa'!$I$31+'[5]Feb10loa'!$I$32)/1000</f>
        <v>2559.928</v>
      </c>
      <c r="J299" s="13">
        <f>(+'[5]Feb10loa'!$I$33)/1000</f>
        <v>135.795</v>
      </c>
      <c r="K299" s="13">
        <f>(+'[5]Feb10loa'!$I$34)/1000</f>
        <v>109.125</v>
      </c>
      <c r="L299" s="13">
        <f>(+'[5]Feb10loa'!$I$35)/1000</f>
        <v>426.304</v>
      </c>
      <c r="M299" s="13">
        <f>(+'[5]Feb10loa'!$I$36)/1000</f>
        <v>366.473</v>
      </c>
      <c r="N299" s="13">
        <f>(+'[5]Feb10loa'!$I$37)/1000</f>
        <v>1049.065</v>
      </c>
      <c r="O299" s="13">
        <f>(+'[5]Feb10loa'!$I$38)/1000</f>
        <v>933.878</v>
      </c>
      <c r="P299" s="13">
        <f>(+'[5]Feb10loa'!$I$39)/1000</f>
        <v>3156.131</v>
      </c>
      <c r="Q299" s="49">
        <f t="shared" si="26"/>
        <v>16894.82</v>
      </c>
      <c r="R299" s="13">
        <f>(+'[5]Feb10loa'!$I$42)/1000</f>
        <v>15456.806</v>
      </c>
      <c r="S299" s="13">
        <f>(+'[5]Feb10loa'!$I$43)/1000</f>
        <v>1222.564</v>
      </c>
      <c r="T299" s="13">
        <f>(+'[5]Feb10loa'!$I$44)/1000</f>
        <v>215.45</v>
      </c>
      <c r="U299" s="49">
        <f>(+'[5]Feb10loa'!$J$46)/1000</f>
        <v>1036.72</v>
      </c>
      <c r="V299" s="49">
        <f t="shared" si="27"/>
        <v>7615.04</v>
      </c>
      <c r="W299" s="13">
        <f>(+'[5]Feb10loa'!$I$49)/1000</f>
        <v>4478.312</v>
      </c>
      <c r="X299" s="13">
        <f>(+'[5]Feb10loa'!$I$50)/1000</f>
        <v>317.434</v>
      </c>
      <c r="Y299" s="13">
        <f>(+'[5]Feb10loa'!$I$51)/1000</f>
        <v>2819.294</v>
      </c>
      <c r="Z299" s="49">
        <f>(+'[5]Feb10loa'!$J$53)/1000</f>
        <v>4700.362</v>
      </c>
      <c r="AA299" s="49">
        <f t="shared" si="28"/>
        <v>36977.312999999995</v>
      </c>
      <c r="AB299" s="13">
        <f>(+'[5]Feb10loa'!$I$56)/1000</f>
        <v>13202.462</v>
      </c>
      <c r="AC299" s="13">
        <f>(+'[5]Feb10loa'!$I$57)/1000</f>
        <v>2.428</v>
      </c>
      <c r="AD299" s="13">
        <f>(+'[5]Feb10loa'!$I$58)/1000</f>
        <v>19307.528</v>
      </c>
      <c r="AE299" s="13">
        <f>(+'[5]Feb10loa'!$I$59)/1000</f>
        <v>4464.895</v>
      </c>
      <c r="AF299" s="49">
        <f>(+'[5]Feb10loa'!$J$61)/1000</f>
        <v>23894.477</v>
      </c>
      <c r="AG299" s="49">
        <v>0</v>
      </c>
      <c r="AH299" s="49">
        <f>(+'[5]Feb10loa'!$J$63)/1000</f>
        <v>38871.144</v>
      </c>
      <c r="AI299" s="49">
        <f>(+'[5]Feb10loa'!$J$65)/1000</f>
        <v>519.829</v>
      </c>
      <c r="AJ299" s="49">
        <f>(+'[5]Feb10loa'!$J$67)/1000</f>
        <v>17021.972</v>
      </c>
      <c r="AK299" s="49">
        <f>(+'[5]Feb10loa'!$J$73)/1000</f>
        <v>83378.244</v>
      </c>
      <c r="AL299" s="49">
        <f>(+'[5]Feb10loa'!$J$77)/1000</f>
        <v>7045.975</v>
      </c>
      <c r="AM299" s="14">
        <f t="shared" si="29"/>
        <v>253568.11700000003</v>
      </c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8"/>
      <c r="ED299" s="18"/>
      <c r="EE299" s="18"/>
      <c r="EF299" s="18"/>
      <c r="EG299" s="18"/>
      <c r="EH299" s="18"/>
      <c r="EI299" s="18"/>
      <c r="EJ299" s="18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</row>
    <row r="300" spans="1:159" s="19" customFormat="1" ht="15">
      <c r="A300" s="22">
        <v>40268</v>
      </c>
      <c r="B300" s="49">
        <f t="shared" si="24"/>
        <v>6293.742</v>
      </c>
      <c r="C300" s="13">
        <f>(+'[6]Mar10loa'!$I$10)/1000</f>
        <v>6173.107</v>
      </c>
      <c r="D300" s="13">
        <f>(+'[6]Mar10loa'!$I$19)/1000</f>
        <v>120.237</v>
      </c>
      <c r="E300" s="13">
        <f>(+'[6]Mar10loa'!$I$23)/1000</f>
        <v>0.398</v>
      </c>
      <c r="F300" s="49">
        <f>(+'[6]Mar10loa'!$J$25)/1000</f>
        <v>421.553</v>
      </c>
      <c r="G300" s="49">
        <f t="shared" si="25"/>
        <v>9088.57</v>
      </c>
      <c r="H300" s="13">
        <f>(+'[6]Mar10loa'!$I$30)/1000</f>
        <v>311.762</v>
      </c>
      <c r="I300" s="13">
        <f>(+'[6]Mar10loa'!$I$31+'[6]Mar10loa'!$I$32)/1000</f>
        <v>2488.442</v>
      </c>
      <c r="J300" s="13">
        <f>(+'[6]Mar10loa'!$I$33)/1000</f>
        <v>233.639</v>
      </c>
      <c r="K300" s="13">
        <f>(+'[6]Mar10loa'!$I$34)/1000</f>
        <v>156.09</v>
      </c>
      <c r="L300" s="13">
        <f>(+'[6]Mar10loa'!$I$35)/1000</f>
        <v>462.173</v>
      </c>
      <c r="M300" s="13">
        <f>(+'[6]Mar10loa'!$I$36)/1000</f>
        <v>353.44</v>
      </c>
      <c r="N300" s="13">
        <f>(+'[6]Mar10loa'!$I$37)/1000</f>
        <v>1041.934</v>
      </c>
      <c r="O300" s="13">
        <f>(+'[6]Mar10loa'!$I$38)/1000</f>
        <v>933.637</v>
      </c>
      <c r="P300" s="13">
        <f>(+'[6]Mar10loa'!$I$39)/1000</f>
        <v>3107.453</v>
      </c>
      <c r="Q300" s="49">
        <f t="shared" si="26"/>
        <v>16962.763</v>
      </c>
      <c r="R300" s="13">
        <f>(+'[6]Mar10loa'!$I$42)/1000</f>
        <v>15562.625</v>
      </c>
      <c r="S300" s="13">
        <f>(+'[6]Mar10loa'!$I$43)/1000</f>
        <v>1187.909</v>
      </c>
      <c r="T300" s="13">
        <f>(+'[6]Mar10loa'!$I$44)/1000</f>
        <v>212.229</v>
      </c>
      <c r="U300" s="49">
        <f>(+'[6]Mar10loa'!$J$46)/1000</f>
        <v>971.337</v>
      </c>
      <c r="V300" s="49">
        <f t="shared" si="27"/>
        <v>9582.813</v>
      </c>
      <c r="W300" s="13">
        <f>(+'[6]Mar10loa'!$I$49)/1000</f>
        <v>4721.781</v>
      </c>
      <c r="X300" s="13">
        <f>(+'[6]Mar10loa'!$I$50)/1000</f>
        <v>317.011</v>
      </c>
      <c r="Y300" s="13">
        <f>(+'[6]Mar10loa'!$I$51)/1000</f>
        <v>4544.021</v>
      </c>
      <c r="Z300" s="49">
        <f>(+'[6]Mar10loa'!$J$53)/1000</f>
        <v>4595.178</v>
      </c>
      <c r="AA300" s="49">
        <f t="shared" si="28"/>
        <v>37534.258</v>
      </c>
      <c r="AB300" s="13">
        <f>(+'[6]Mar10loa'!$I$56)/1000</f>
        <v>12902.986</v>
      </c>
      <c r="AC300" s="13">
        <f>(+'[6]Mar10loa'!$I$57)/1000</f>
        <v>1.629</v>
      </c>
      <c r="AD300" s="13">
        <f>(+'[6]Mar10loa'!$I$58)/1000</f>
        <v>20221.257</v>
      </c>
      <c r="AE300" s="13">
        <f>(+'[6]Mar10loa'!$I$59)/1000</f>
        <v>4408.386</v>
      </c>
      <c r="AF300" s="49">
        <f>(+'[6]Mar10loa'!$J$61)/1000</f>
        <v>25346.006</v>
      </c>
      <c r="AG300" s="49">
        <v>0</v>
      </c>
      <c r="AH300" s="49">
        <f>(+'[6]Mar10loa'!$J$63)/1000</f>
        <v>38304.466</v>
      </c>
      <c r="AI300" s="49">
        <f>(+'[6]Mar10loa'!$J$65)/1000</f>
        <v>505.693</v>
      </c>
      <c r="AJ300" s="49">
        <f>(+'[6]Mar10loa'!$J$67)/1000</f>
        <v>17646.783</v>
      </c>
      <c r="AK300" s="49">
        <f>(+'[6]Mar10loa'!$J$73)/1000</f>
        <v>82719.904</v>
      </c>
      <c r="AL300" s="49">
        <f>(+'[6]Mar10loa'!$J$77)/1000</f>
        <v>7020.603</v>
      </c>
      <c r="AM300" s="14">
        <f t="shared" si="29"/>
        <v>256993.669</v>
      </c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8"/>
      <c r="ED300" s="18"/>
      <c r="EE300" s="18"/>
      <c r="EF300" s="18"/>
      <c r="EG300" s="18"/>
      <c r="EH300" s="18"/>
      <c r="EI300" s="18"/>
      <c r="EJ300" s="18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</row>
    <row r="301" spans="1:159" s="19" customFormat="1" ht="15">
      <c r="A301" s="22">
        <v>40298</v>
      </c>
      <c r="B301" s="49">
        <f t="shared" si="24"/>
        <v>6348.343</v>
      </c>
      <c r="C301" s="13">
        <f>(+'[7]Apr10loa'!$I$10)/1000</f>
        <v>6197.183</v>
      </c>
      <c r="D301" s="13">
        <f>(+'[7]Apr10loa'!$I$19)/1000</f>
        <v>150.762</v>
      </c>
      <c r="E301" s="13">
        <f>(+'[7]Apr10loa'!$I$23)/1000</f>
        <v>0.398</v>
      </c>
      <c r="F301" s="49">
        <f>(+'[7]Apr10loa'!$J$25)/1000</f>
        <v>376.383</v>
      </c>
      <c r="G301" s="49">
        <f t="shared" si="25"/>
        <v>8855.198</v>
      </c>
      <c r="H301" s="13">
        <f>(+'[7]Apr10loa'!$I$30)/1000</f>
        <v>196.557</v>
      </c>
      <c r="I301" s="13">
        <f>(+'[7]Apr10loa'!$I$31+'[7]Apr10loa'!$I$32)/1000</f>
        <v>2540.276</v>
      </c>
      <c r="J301" s="13">
        <f>(+'[7]Apr10loa'!$I$33)/1000</f>
        <v>119.047</v>
      </c>
      <c r="K301" s="13">
        <f>(+'[7]Apr10loa'!$I$34)/1000</f>
        <v>156.177</v>
      </c>
      <c r="L301" s="13">
        <f>(+'[7]Apr10loa'!$I$35)/1000</f>
        <v>471.23</v>
      </c>
      <c r="M301" s="13">
        <f>(+'[7]Apr10loa'!$I$36)/1000</f>
        <v>350.117</v>
      </c>
      <c r="N301" s="13">
        <f>(+'[7]Apr10loa'!$I$37)/1000</f>
        <v>1112.397</v>
      </c>
      <c r="O301" s="13">
        <f>(+'[7]Apr10loa'!$I$38)/1000</f>
        <v>851.024</v>
      </c>
      <c r="P301" s="13">
        <f>(+'[7]Apr10loa'!$I$39)/1000</f>
        <v>3058.373</v>
      </c>
      <c r="Q301" s="49">
        <f t="shared" si="26"/>
        <v>20145.608</v>
      </c>
      <c r="R301" s="13">
        <f>(+'[7]Apr10loa'!$I$42)/1000</f>
        <v>18842.43</v>
      </c>
      <c r="S301" s="13">
        <f>(+'[7]Apr10loa'!$I$43)/1000</f>
        <v>1114.677</v>
      </c>
      <c r="T301" s="13">
        <f>(+'[7]Apr10loa'!$I$44)/1000</f>
        <v>188.501</v>
      </c>
      <c r="U301" s="49">
        <f>(+'[7]Apr10loa'!$J$46)/1000</f>
        <v>959.467</v>
      </c>
      <c r="V301" s="49">
        <f t="shared" si="27"/>
        <v>9398.442</v>
      </c>
      <c r="W301" s="13">
        <f>(+'[7]Apr10loa'!$I$49)/1000</f>
        <v>4691.879</v>
      </c>
      <c r="X301" s="13">
        <f>(+'[7]Apr10loa'!$I$50)/1000</f>
        <v>313.403</v>
      </c>
      <c r="Y301" s="13">
        <f>(+'[7]Apr10loa'!$I$51)/1000</f>
        <v>4393.16</v>
      </c>
      <c r="Z301" s="49">
        <f>(+'[7]Apr10loa'!$J$53)/1000</f>
        <v>4545.768</v>
      </c>
      <c r="AA301" s="49">
        <f t="shared" si="28"/>
        <v>34539.168000000005</v>
      </c>
      <c r="AB301" s="13">
        <f>(+'[7]Apr10loa'!$I$56)/1000</f>
        <v>12358.307</v>
      </c>
      <c r="AC301" s="13">
        <f>(+'[7]Apr10loa'!$I$57)/1000</f>
        <v>0.85</v>
      </c>
      <c r="AD301" s="13">
        <f>(+'[7]Apr10loa'!$I$58)/1000</f>
        <v>17663.74</v>
      </c>
      <c r="AE301" s="13">
        <f>(+'[7]Apr10loa'!$I$59)/1000</f>
        <v>4516.271</v>
      </c>
      <c r="AF301" s="49">
        <f>(+'[7]Apr10loa'!$J$61)/1000</f>
        <v>26248.642</v>
      </c>
      <c r="AG301" s="49">
        <v>0</v>
      </c>
      <c r="AH301" s="49">
        <f>(+'[7]Apr10loa'!$J$63)/1000</f>
        <v>34011.446</v>
      </c>
      <c r="AI301" s="49">
        <f>(+'[7]Apr10loa'!$J$65)/1000</f>
        <v>493.09</v>
      </c>
      <c r="AJ301" s="49">
        <f>(+'[7]Apr10loa'!$J$67)/1000</f>
        <v>17402.295</v>
      </c>
      <c r="AK301" s="49">
        <f>(+'[7]Apr10loa'!$J$73)/1000</f>
        <v>83168.711</v>
      </c>
      <c r="AL301" s="49">
        <f>(+'[7]Apr10loa'!$J$77)/1000</f>
        <v>6993.36</v>
      </c>
      <c r="AM301" s="14">
        <f t="shared" si="29"/>
        <v>253485.92099999997</v>
      </c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8"/>
      <c r="ED301" s="18"/>
      <c r="EE301" s="18"/>
      <c r="EF301" s="18"/>
      <c r="EG301" s="18"/>
      <c r="EH301" s="18"/>
      <c r="EI301" s="18"/>
      <c r="EJ301" s="18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</row>
    <row r="302" spans="1:159" s="19" customFormat="1" ht="15">
      <c r="A302" s="22">
        <v>40329</v>
      </c>
      <c r="B302" s="49">
        <f t="shared" si="24"/>
        <v>6688.264999999999</v>
      </c>
      <c r="C302" s="13">
        <f>(+'[8]May10loa'!$I$10)/1000</f>
        <v>6534.181</v>
      </c>
      <c r="D302" s="13">
        <f>(+'[8]May10loa'!$I$19)/1000</f>
        <v>153.452</v>
      </c>
      <c r="E302" s="13">
        <f>(+'[8]May10loa'!$I$23)/1000</f>
        <v>0.632</v>
      </c>
      <c r="F302" s="49">
        <f>(+'[8]May10loa'!$J$25)/1000</f>
        <v>378.734</v>
      </c>
      <c r="G302" s="49">
        <f t="shared" si="25"/>
        <v>8756.978</v>
      </c>
      <c r="H302" s="13">
        <f>(+'[8]May10loa'!$I$30)/1000</f>
        <v>165.779</v>
      </c>
      <c r="I302" s="13">
        <f>(+'[8]May10loa'!$I$31+'[8]May10loa'!$I$32)/1000</f>
        <v>2462.205</v>
      </c>
      <c r="J302" s="13">
        <f>(+'[8]May10loa'!$I$33)/1000</f>
        <v>125.754</v>
      </c>
      <c r="K302" s="13">
        <f>(+'[8]May10loa'!$I$34)/1000</f>
        <v>140.862</v>
      </c>
      <c r="L302" s="13">
        <f>(+'[8]May10loa'!$I$35)/1000</f>
        <v>466.534</v>
      </c>
      <c r="M302" s="13">
        <f>(+'[8]May10loa'!$I$36)/1000</f>
        <v>389.468</v>
      </c>
      <c r="N302" s="13">
        <f>(+'[8]May10loa'!$I$37)/1000</f>
        <v>1123.342</v>
      </c>
      <c r="O302" s="13">
        <f>(+'[8]May10loa'!$I$38)/1000</f>
        <v>838.271</v>
      </c>
      <c r="P302" s="13">
        <f>(+'[8]May10loa'!$I$39)/1000</f>
        <v>3044.763</v>
      </c>
      <c r="Q302" s="49">
        <f t="shared" si="26"/>
        <v>20280.048</v>
      </c>
      <c r="R302" s="13">
        <f>(+'[8]May10loa'!$I$42)/1000</f>
        <v>18977.645</v>
      </c>
      <c r="S302" s="13">
        <f>(+'[8]May10loa'!$I$43)/1000</f>
        <v>1055.535</v>
      </c>
      <c r="T302" s="13">
        <f>(+'[8]May10loa'!$I$44)/1000</f>
        <v>246.868</v>
      </c>
      <c r="U302" s="49">
        <f>(+'[8]May10loa'!$J$46)/1000</f>
        <v>982.377</v>
      </c>
      <c r="V302" s="49">
        <f t="shared" si="27"/>
        <v>9306.237000000001</v>
      </c>
      <c r="W302" s="13">
        <f>(+'[8]May10loa'!$I$49)/1000</f>
        <v>4630.358</v>
      </c>
      <c r="X302" s="13">
        <f>(+'[8]May10loa'!$I$50)/1000</f>
        <v>314.18</v>
      </c>
      <c r="Y302" s="13">
        <f>(+'[8]May10loa'!$I$51)/1000</f>
        <v>4361.699</v>
      </c>
      <c r="Z302" s="49">
        <f>(+'[8]May10loa'!$J$53)/1000</f>
        <v>5284.09</v>
      </c>
      <c r="AA302" s="49">
        <f t="shared" si="28"/>
        <v>33653.94899999999</v>
      </c>
      <c r="AB302" s="13">
        <f>(+'[8]May10loa'!$I$56)/1000</f>
        <v>12285.081</v>
      </c>
      <c r="AC302" s="13">
        <f>(+'[8]May10loa'!$I$57)/1000</f>
        <v>0.462</v>
      </c>
      <c r="AD302" s="13">
        <f>(+'[8]May10loa'!$I$58)/1000</f>
        <v>16876.992</v>
      </c>
      <c r="AE302" s="13">
        <f>(+'[8]May10loa'!$I$59)/1000</f>
        <v>4491.414</v>
      </c>
      <c r="AF302" s="49">
        <f>(+'[8]May10loa'!$J$61)/1000</f>
        <v>27239.557</v>
      </c>
      <c r="AG302" s="49">
        <v>0</v>
      </c>
      <c r="AH302" s="49">
        <f>(+'[8]May10loa'!$J$63)/1000</f>
        <v>33805.004</v>
      </c>
      <c r="AI302" s="49">
        <f>(+'[8]May10loa'!$J$65)/1000</f>
        <v>487.666</v>
      </c>
      <c r="AJ302" s="49">
        <f>(+'[8]May10loa'!$J$67)/1000</f>
        <v>17225.37</v>
      </c>
      <c r="AK302" s="49">
        <f>(+'[8]May10loa'!$J$73)/1000</f>
        <v>83574.923</v>
      </c>
      <c r="AL302" s="49">
        <f>(+'[8]May10loa'!$J$77)/1000</f>
        <v>6925.52</v>
      </c>
      <c r="AM302" s="14">
        <f t="shared" si="29"/>
        <v>254588.71799999996</v>
      </c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8"/>
      <c r="ED302" s="18"/>
      <c r="EE302" s="18"/>
      <c r="EF302" s="18"/>
      <c r="EG302" s="18"/>
      <c r="EH302" s="18"/>
      <c r="EI302" s="18"/>
      <c r="EJ302" s="18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</row>
    <row r="303" spans="1:159" s="19" customFormat="1" ht="15">
      <c r="A303" s="22">
        <v>40359</v>
      </c>
      <c r="B303" s="49">
        <f t="shared" si="24"/>
        <v>4735.636</v>
      </c>
      <c r="C303" s="13">
        <f>(+'[9]Jun10loa'!$I$10)/1000</f>
        <v>4583.093</v>
      </c>
      <c r="D303" s="13">
        <f>(+'[9]Jun10loa'!$I$19)/1000</f>
        <v>152.145</v>
      </c>
      <c r="E303" s="13">
        <f>(+'[9]Jun10loa'!$I$23)/1000</f>
        <v>0.398</v>
      </c>
      <c r="F303" s="49">
        <f>(+'[9]Jun10loa'!$J$25)/1000</f>
        <v>387.732</v>
      </c>
      <c r="G303" s="49">
        <f t="shared" si="25"/>
        <v>8380.636</v>
      </c>
      <c r="H303" s="13">
        <f>(+'[9]Jun10loa'!$I$30)/1000</f>
        <v>123.257</v>
      </c>
      <c r="I303" s="13">
        <f>(+'[9]Jun10loa'!$I$31+'[9]Jun10loa'!$I$32)/1000</f>
        <v>2378.887</v>
      </c>
      <c r="J303" s="13">
        <f>(+'[9]Jun10loa'!$I$33)/1000</f>
        <v>131.215</v>
      </c>
      <c r="K303" s="13">
        <f>(+'[9]Jun10loa'!$I$34)/1000</f>
        <v>153.741</v>
      </c>
      <c r="L303" s="13">
        <f>(+'[9]Jun10loa'!$I$35)/1000</f>
        <v>458.779</v>
      </c>
      <c r="M303" s="13">
        <f>(+'[9]Jun10loa'!$I$36)/1000</f>
        <v>402.703</v>
      </c>
      <c r="N303" s="13">
        <f>(+'[9]Jun10loa'!$I$37)/1000</f>
        <v>1141.343</v>
      </c>
      <c r="O303" s="13">
        <f>(+'[9]Jun10loa'!$I$38)/1000</f>
        <v>832.781</v>
      </c>
      <c r="P303" s="13">
        <f>(+'[9]Jun10loa'!$I$39)/1000</f>
        <v>2757.93</v>
      </c>
      <c r="Q303" s="49">
        <f t="shared" si="26"/>
        <v>20023.185</v>
      </c>
      <c r="R303" s="13">
        <f>(+'[9]Jun10loa'!$I$42)/1000</f>
        <v>19273.577</v>
      </c>
      <c r="S303" s="13">
        <f>(+'[9]Jun10loa'!$I$43)/1000</f>
        <v>507.8</v>
      </c>
      <c r="T303" s="13">
        <f>(+'[9]Jun10loa'!$I$44)/1000</f>
        <v>241.808</v>
      </c>
      <c r="U303" s="49">
        <f>(+'[9]Jun10loa'!$J$46)/1000</f>
        <v>852.037</v>
      </c>
      <c r="V303" s="49">
        <f t="shared" si="27"/>
        <v>9034.224</v>
      </c>
      <c r="W303" s="13">
        <f>(+'[9]Jun10loa'!$I$49)/1000</f>
        <v>4487.659</v>
      </c>
      <c r="X303" s="13">
        <f>(+'[9]Jun10loa'!$I$50)/1000</f>
        <v>311.966</v>
      </c>
      <c r="Y303" s="13">
        <f>(+'[9]Jun10loa'!$I$51)/1000</f>
        <v>4234.599</v>
      </c>
      <c r="Z303" s="49">
        <f>(+'[9]Jun10loa'!$J$53)/1000</f>
        <v>5735.227</v>
      </c>
      <c r="AA303" s="49">
        <f t="shared" si="28"/>
        <v>31172.162</v>
      </c>
      <c r="AB303" s="13">
        <f>(+'[9]Jun10loa'!$I$56)/1000</f>
        <v>12094.481</v>
      </c>
      <c r="AC303" s="13">
        <f>(+'[9]Jun10loa'!$I$57)/1000</f>
        <v>0.323</v>
      </c>
      <c r="AD303" s="13">
        <f>(+'[9]Jun10loa'!$I$58)/1000</f>
        <v>14611.603</v>
      </c>
      <c r="AE303" s="13">
        <f>(+'[9]Jun10loa'!$I$59)/1000</f>
        <v>4465.755</v>
      </c>
      <c r="AF303" s="49">
        <f>(+'[9]Jun10loa'!$J$61)/1000</f>
        <v>28855.568</v>
      </c>
      <c r="AG303" s="49">
        <v>0</v>
      </c>
      <c r="AH303" s="49">
        <f>(+'[9]Jun10loa'!$J$63)/1000</f>
        <v>32086.221</v>
      </c>
      <c r="AI303" s="49">
        <f>(+'[9]Jun10loa'!$J$65)/1000</f>
        <v>472.595</v>
      </c>
      <c r="AJ303" s="49">
        <f>(+'[9]Jun10loa'!$J$67)/1000</f>
        <v>17563.345</v>
      </c>
      <c r="AK303" s="49">
        <f>(+'[9]Jun10loa'!$J$73)/1000</f>
        <v>84070.288</v>
      </c>
      <c r="AL303" s="49">
        <f>(+'[9]Jun10loa'!$J$77)/1000</f>
        <v>6486.781</v>
      </c>
      <c r="AM303" s="14">
        <f t="shared" si="29"/>
        <v>249855.637</v>
      </c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8"/>
      <c r="ED303" s="18"/>
      <c r="EE303" s="18"/>
      <c r="EF303" s="18"/>
      <c r="EG303" s="18"/>
      <c r="EH303" s="18"/>
      <c r="EI303" s="18"/>
      <c r="EJ303" s="18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</row>
    <row r="304" spans="1:159" s="19" customFormat="1" ht="15">
      <c r="A304" s="22">
        <v>40390</v>
      </c>
      <c r="B304" s="49">
        <f t="shared" si="24"/>
        <v>4647.716</v>
      </c>
      <c r="C304" s="13">
        <f>(+'[10]Jul10loa'!$I$10)/1000</f>
        <v>4488.995</v>
      </c>
      <c r="D304" s="13">
        <f>(+'[10]Jul10loa'!$I$19)/1000</f>
        <v>158.323</v>
      </c>
      <c r="E304" s="13">
        <f>(+'[10]Jul10loa'!$I$23)/1000</f>
        <v>0.398</v>
      </c>
      <c r="F304" s="49">
        <f>(+'[10]Jul10loa'!$J$25)/1000</f>
        <v>468.247</v>
      </c>
      <c r="G304" s="49">
        <f t="shared" si="25"/>
        <v>8616.379</v>
      </c>
      <c r="H304" s="13">
        <f>(+'[10]Jul10loa'!$I$30)/1000</f>
        <v>126.239</v>
      </c>
      <c r="I304" s="13">
        <f>(+'[10]Jul10loa'!$I$31+'[10]Jul10loa'!$I$32)/1000</f>
        <v>2640.646</v>
      </c>
      <c r="J304" s="13">
        <f>(+'[10]Jul10loa'!$I$33)/1000</f>
        <v>115.491</v>
      </c>
      <c r="K304" s="13">
        <f>(+'[10]Jul10loa'!$I$34)/1000</f>
        <v>136.027</v>
      </c>
      <c r="L304" s="13">
        <f>(+'[10]Jul10loa'!$I$35)/1000</f>
        <v>602.873</v>
      </c>
      <c r="M304" s="13">
        <f>(+'[10]Jul10loa'!$I$36)/1000</f>
        <v>363.499</v>
      </c>
      <c r="N304" s="13">
        <f>(+'[10]Jul10loa'!$I$37)/1000</f>
        <v>1136.904</v>
      </c>
      <c r="O304" s="13">
        <f>(+'[10]Jul10loa'!$I$38)/1000</f>
        <v>746.958</v>
      </c>
      <c r="P304" s="13">
        <f>(+'[10]Jul10loa'!$I$39)/1000</f>
        <v>2747.742</v>
      </c>
      <c r="Q304" s="49">
        <f t="shared" si="26"/>
        <v>20075.654000000002</v>
      </c>
      <c r="R304" s="13">
        <f>(+'[10]Jul10loa'!$I$42)/1000</f>
        <v>19299.251</v>
      </c>
      <c r="S304" s="13">
        <f>(+'[10]Jul10loa'!$I$43)/1000</f>
        <v>536.83</v>
      </c>
      <c r="T304" s="13">
        <f>(+'[10]Jul10loa'!$I$44)/1000</f>
        <v>239.573</v>
      </c>
      <c r="U304" s="49">
        <f>(+'[10]Jul10loa'!$J$46)/1000</f>
        <v>841.741</v>
      </c>
      <c r="V304" s="49">
        <f t="shared" si="27"/>
        <v>9428.272</v>
      </c>
      <c r="W304" s="13">
        <f>(+'[10]Jul10loa'!$I$49)/1000</f>
        <v>4794.265</v>
      </c>
      <c r="X304" s="13">
        <f>(+'[10]Jul10loa'!$I$50)/1000</f>
        <v>312.805</v>
      </c>
      <c r="Y304" s="13">
        <f>(+'[10]Jul10loa'!$I$51)/1000</f>
        <v>4321.202</v>
      </c>
      <c r="Z304" s="49">
        <f>(+'[10]Jul10loa'!$J$53)/1000</f>
        <v>5978.922</v>
      </c>
      <c r="AA304" s="49">
        <f t="shared" si="28"/>
        <v>31139.883</v>
      </c>
      <c r="AB304" s="13">
        <f>(+'[10]Jul10loa'!$I$56)/1000</f>
        <v>11623.152</v>
      </c>
      <c r="AC304" s="13">
        <f>(+'[10]Jul10loa'!$I$57)/1000</f>
        <v>0.18</v>
      </c>
      <c r="AD304" s="13">
        <f>(+'[10]Jul10loa'!$I$58)/1000</f>
        <v>15293.748</v>
      </c>
      <c r="AE304" s="13">
        <f>(+'[10]Jul10loa'!$I$59)/1000</f>
        <v>4222.803</v>
      </c>
      <c r="AF304" s="49">
        <f>(+'[10]Jul10loa'!$J$61)/1000</f>
        <v>29594.143</v>
      </c>
      <c r="AG304" s="49">
        <v>0</v>
      </c>
      <c r="AH304" s="49">
        <f>(+'[10]Jul10loa'!$J$63)/1000</f>
        <v>31843.065</v>
      </c>
      <c r="AI304" s="49">
        <f>(+'[10]Jul10loa'!$J$65)/1000</f>
        <v>387.206</v>
      </c>
      <c r="AJ304" s="49">
        <f>(+'[10]Jul10loa'!$J$67)/1000</f>
        <v>17496.407</v>
      </c>
      <c r="AK304" s="49">
        <f>(+'[10]Jul10loa'!$J$73)/1000</f>
        <v>84190.454</v>
      </c>
      <c r="AL304" s="49">
        <f>(+'[10]Jul10loa'!$J$77)/1000</f>
        <v>6500.249</v>
      </c>
      <c r="AM304" s="14">
        <f t="shared" si="29"/>
        <v>251208.33800000002</v>
      </c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8"/>
      <c r="ED304" s="18"/>
      <c r="EE304" s="18"/>
      <c r="EF304" s="18"/>
      <c r="EG304" s="18"/>
      <c r="EH304" s="18"/>
      <c r="EI304" s="18"/>
      <c r="EJ304" s="18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</row>
    <row r="305" spans="1:159" s="19" customFormat="1" ht="15">
      <c r="A305" s="22">
        <v>40421</v>
      </c>
      <c r="B305" s="49">
        <f t="shared" si="24"/>
        <v>4355.1179999999995</v>
      </c>
      <c r="C305" s="13">
        <f>(+'[11]Aug10loa'!$I$10)/1000</f>
        <v>4200.829</v>
      </c>
      <c r="D305" s="13">
        <f>(+'[11]Aug10loa'!$I$19)/1000</f>
        <v>152.891</v>
      </c>
      <c r="E305" s="13">
        <f>(+'[11]Aug10loa'!$I$23)/1000</f>
        <v>1.398</v>
      </c>
      <c r="F305" s="49">
        <f>(+'[11]Aug10loa'!$J$25)/1000</f>
        <v>419.679</v>
      </c>
      <c r="G305" s="49">
        <f t="shared" si="25"/>
        <v>8717.748</v>
      </c>
      <c r="H305" s="13">
        <f>(+'[11]Aug10loa'!$I$30)/1000</f>
        <v>123.854</v>
      </c>
      <c r="I305" s="13">
        <f>(+'[11]Aug10loa'!$I$31+'[11]Aug10loa'!$I$32)/1000</f>
        <v>2685.897</v>
      </c>
      <c r="J305" s="13">
        <f>(+'[11]Aug10loa'!$I$33)/1000</f>
        <v>122.017</v>
      </c>
      <c r="K305" s="13">
        <f>(+'[11]Aug10loa'!$I$34)/1000</f>
        <v>124.57</v>
      </c>
      <c r="L305" s="13">
        <f>(+'[11]Aug10loa'!$I$35)/1000</f>
        <v>727.694</v>
      </c>
      <c r="M305" s="13">
        <f>(+'[11]Aug10loa'!$I$36)/1000</f>
        <v>376.969</v>
      </c>
      <c r="N305" s="13">
        <f>(+'[11]Aug10loa'!$I$37)/1000</f>
        <v>1158.9</v>
      </c>
      <c r="O305" s="13">
        <f>(+'[11]Aug10loa'!$I$38)/1000</f>
        <v>740.853</v>
      </c>
      <c r="P305" s="13">
        <f>(+'[11]Aug10loa'!$I$39)/1000</f>
        <v>2656.994</v>
      </c>
      <c r="Q305" s="49">
        <f t="shared" si="26"/>
        <v>20141.07</v>
      </c>
      <c r="R305" s="13">
        <f>(+'[11]Aug10loa'!$I$42)/1000</f>
        <v>19368.662</v>
      </c>
      <c r="S305" s="13">
        <f>(+'[11]Aug10loa'!$I$43)/1000</f>
        <v>535.988</v>
      </c>
      <c r="T305" s="13">
        <f>(+'[11]Aug10loa'!$I$44)/1000</f>
        <v>236.42</v>
      </c>
      <c r="U305" s="49">
        <f>(+'[11]Aug10loa'!$J$46)/1000</f>
        <v>844.024</v>
      </c>
      <c r="V305" s="49">
        <f t="shared" si="27"/>
        <v>9664.891</v>
      </c>
      <c r="W305" s="13">
        <f>(+'[11]Aug10loa'!$I$49)/1000</f>
        <v>4882.948</v>
      </c>
      <c r="X305" s="13">
        <f>(+'[11]Aug10loa'!$I$50)/1000</f>
        <v>311.548</v>
      </c>
      <c r="Y305" s="13">
        <f>(+'[11]Aug10loa'!$I$51)/1000</f>
        <v>4470.395</v>
      </c>
      <c r="Z305" s="49">
        <f>(+'[11]Aug10loa'!$J$53)/1000</f>
        <v>5980.14</v>
      </c>
      <c r="AA305" s="49">
        <f t="shared" si="28"/>
        <v>31581.792</v>
      </c>
      <c r="AB305" s="13">
        <f>(+'[11]Aug10loa'!$I$56)/1000</f>
        <v>11696.253</v>
      </c>
      <c r="AC305" s="13">
        <f>(+'[11]Aug10loa'!$I$57)/1000</f>
        <v>0.033</v>
      </c>
      <c r="AD305" s="13">
        <f>(+'[11]Aug10loa'!$I$58)/1000</f>
        <v>15874.686</v>
      </c>
      <c r="AE305" s="13">
        <f>(+'[11]Aug10loa'!$I$59)/1000</f>
        <v>4010.82</v>
      </c>
      <c r="AF305" s="49">
        <f>(+'[11]Aug10loa'!$J$61)/1000</f>
        <v>29386.893</v>
      </c>
      <c r="AG305" s="49">
        <v>0</v>
      </c>
      <c r="AH305" s="49">
        <f>(+'[11]Aug10loa'!$J$63)/1000</f>
        <v>32009.824</v>
      </c>
      <c r="AI305" s="49">
        <f>(+'[11]Aug10loa'!$J$65)/1000</f>
        <v>360.945</v>
      </c>
      <c r="AJ305" s="49">
        <f>(+'[11]Aug10loa'!$J$67)/1000</f>
        <v>17037.632</v>
      </c>
      <c r="AK305" s="49">
        <f>(+'[11]Aug10loa'!$J$73)/1000</f>
        <v>84888.784</v>
      </c>
      <c r="AL305" s="49">
        <f>(+'[11]Aug10loa'!$J$77)/1000</f>
        <v>6457.307</v>
      </c>
      <c r="AM305" s="14">
        <f t="shared" si="29"/>
        <v>251845.84700000004</v>
      </c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8"/>
      <c r="ED305" s="18"/>
      <c r="EE305" s="18"/>
      <c r="EF305" s="18"/>
      <c r="EG305" s="18"/>
      <c r="EH305" s="18"/>
      <c r="EI305" s="18"/>
      <c r="EJ305" s="18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</row>
    <row r="306" spans="1:159" s="19" customFormat="1" ht="15">
      <c r="A306" s="22">
        <v>40451</v>
      </c>
      <c r="B306" s="49">
        <f t="shared" si="24"/>
        <v>4773.061000000001</v>
      </c>
      <c r="C306" s="13">
        <f>(+'[12]Sep10loa'!$I$10)/1000</f>
        <v>4609.488</v>
      </c>
      <c r="D306" s="13">
        <f>(+'[12]Sep10loa'!$I$19)/1000</f>
        <v>162.203</v>
      </c>
      <c r="E306" s="13">
        <f>(+'[12]Sep10loa'!$I$23)/1000</f>
        <v>1.37</v>
      </c>
      <c r="F306" s="49">
        <f>(+'[12]Sep10loa'!$J$25)/1000</f>
        <v>387.019</v>
      </c>
      <c r="G306" s="49">
        <f t="shared" si="25"/>
        <v>7714.83</v>
      </c>
      <c r="H306" s="13">
        <f>(+'[12]Sep10loa'!$I$30)/1000</f>
        <v>143.1</v>
      </c>
      <c r="I306" s="13">
        <f>(+'[12]Sep10loa'!$I$31+'[12]Sep10loa'!$I$32)/1000</f>
        <v>1823.029</v>
      </c>
      <c r="J306" s="13">
        <f>(+'[12]Sep10loa'!$I$33)/1000</f>
        <v>125.936</v>
      </c>
      <c r="K306" s="13">
        <f>(+'[12]Sep10loa'!$I$34)/1000</f>
        <v>139.919</v>
      </c>
      <c r="L306" s="13">
        <f>(+'[12]Sep10loa'!$I$35)/1000</f>
        <v>700.281</v>
      </c>
      <c r="M306" s="13">
        <f>(+'[12]Sep10loa'!$I$36)/1000</f>
        <v>379.23</v>
      </c>
      <c r="N306" s="13">
        <f>(+'[12]Sep10loa'!$I$37)/1000</f>
        <v>1132.835</v>
      </c>
      <c r="O306" s="13">
        <f>(+'[12]Sep10loa'!$I$38)/1000</f>
        <v>729.075</v>
      </c>
      <c r="P306" s="13">
        <f>(+'[12]Sep10loa'!$I$39)/1000</f>
        <v>2541.425</v>
      </c>
      <c r="Q306" s="49">
        <f t="shared" si="26"/>
        <v>20445.298</v>
      </c>
      <c r="R306" s="13">
        <f>(+'[12]Sep10loa'!$I$42)/1000</f>
        <v>19579.081</v>
      </c>
      <c r="S306" s="13">
        <f>(+'[12]Sep10loa'!$I$43)/1000</f>
        <v>590.499</v>
      </c>
      <c r="T306" s="13">
        <f>(+'[12]Sep10loa'!$I$44)/1000</f>
        <v>275.718</v>
      </c>
      <c r="U306" s="49">
        <f>(+'[12]Sep10loa'!$J$46)/1000</f>
        <v>860.025</v>
      </c>
      <c r="V306" s="49">
        <f t="shared" si="27"/>
        <v>9507.992</v>
      </c>
      <c r="W306" s="13">
        <f>(+'[12]Sep10loa'!$I$49)/1000</f>
        <v>4832.006</v>
      </c>
      <c r="X306" s="13">
        <f>(+'[12]Sep10loa'!$I$50)/1000</f>
        <v>302.791</v>
      </c>
      <c r="Y306" s="13">
        <f>(+'[12]Sep10loa'!$I$51)/1000</f>
        <v>4373.195</v>
      </c>
      <c r="Z306" s="49">
        <f>(+'[12]Sep10loa'!$J$53)/1000</f>
        <v>5963.303</v>
      </c>
      <c r="AA306" s="49">
        <f t="shared" si="28"/>
        <v>31247.074</v>
      </c>
      <c r="AB306" s="13">
        <f>(+'[12]Sep10loa'!$I$56)/1000</f>
        <v>11612.899</v>
      </c>
      <c r="AC306" s="13">
        <f>(+'[12]Sep10loa'!$I$57)/1000</f>
        <v>0.033</v>
      </c>
      <c r="AD306" s="13">
        <f>(+'[12]Sep10loa'!$I$58)/1000</f>
        <v>15575.763</v>
      </c>
      <c r="AE306" s="13">
        <f>(+'[12]Sep10loa'!$I$59)/1000</f>
        <v>4058.379</v>
      </c>
      <c r="AF306" s="49">
        <f>(+'[12]Sep10loa'!$J$61)/1000</f>
        <v>29152.077</v>
      </c>
      <c r="AG306" s="49">
        <v>0</v>
      </c>
      <c r="AH306" s="49">
        <f>(+'[12]Sep10loa'!$J$63)/1000</f>
        <v>32013.027</v>
      </c>
      <c r="AI306" s="49">
        <f>(+'[12]Sep10loa'!$J$65)/1000</f>
        <v>416.549</v>
      </c>
      <c r="AJ306" s="49">
        <f>(+'[12]Sep10loa'!$J$67)/1000</f>
        <v>17115.824</v>
      </c>
      <c r="AK306" s="49">
        <f>(+'[12]Sep10loa'!$J$73)/1000</f>
        <v>86101.747</v>
      </c>
      <c r="AL306" s="49">
        <f>(+'[12]Sep10loa'!$J$77)/1000</f>
        <v>6497.163</v>
      </c>
      <c r="AM306" s="14">
        <f t="shared" si="29"/>
        <v>252194.989</v>
      </c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8"/>
      <c r="ED306" s="18"/>
      <c r="EE306" s="18"/>
      <c r="EF306" s="18"/>
      <c r="EG306" s="18"/>
      <c r="EH306" s="18"/>
      <c r="EI306" s="18"/>
      <c r="EJ306" s="18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</row>
    <row r="307" spans="1:159" s="19" customFormat="1" ht="15">
      <c r="A307" s="22">
        <v>40482</v>
      </c>
      <c r="B307" s="49">
        <f t="shared" si="24"/>
        <v>4641.642999999999</v>
      </c>
      <c r="C307" s="13">
        <f>(+'[13]Oct10loa'!$I$10)/1000</f>
        <v>4493.605</v>
      </c>
      <c r="D307" s="13">
        <f>(+'[13]Oct10loa'!$I$19)/1000</f>
        <v>145.866</v>
      </c>
      <c r="E307" s="13">
        <f>(+'[13]Oct10loa'!$I$23)/1000</f>
        <v>2.172</v>
      </c>
      <c r="F307" s="49">
        <f>(+'[13]Oct10loa'!$J$25)/1000</f>
        <v>372.116</v>
      </c>
      <c r="G307" s="49">
        <f t="shared" si="25"/>
        <v>8018.16</v>
      </c>
      <c r="H307" s="13">
        <f>(+'[13]Oct10loa'!$I$30)/1000</f>
        <v>119.579</v>
      </c>
      <c r="I307" s="13">
        <f>(+'[13]Oct10loa'!$I$31+'[13]Oct10loa'!$I$32)/1000</f>
        <v>1859.053</v>
      </c>
      <c r="J307" s="13">
        <f>(+'[13]Oct10loa'!$I$33)/1000</f>
        <v>116.889</v>
      </c>
      <c r="K307" s="13">
        <f>(+'[13]Oct10loa'!$I$34)/1000</f>
        <v>139.162</v>
      </c>
      <c r="L307" s="13">
        <f>(+'[13]Oct10loa'!$I$35)/1000</f>
        <v>706.754</v>
      </c>
      <c r="M307" s="13">
        <f>(+'[13]Oct10loa'!$I$36)/1000</f>
        <v>398.898</v>
      </c>
      <c r="N307" s="13">
        <f>(+'[13]Oct10loa'!$I$37)/1000</f>
        <v>1064.395</v>
      </c>
      <c r="O307" s="13">
        <f>(+'[13]Oct10loa'!$I$38)/1000</f>
        <v>639.941</v>
      </c>
      <c r="P307" s="13">
        <f>(+'[13]Oct10loa'!$I$39)/1000</f>
        <v>2973.489</v>
      </c>
      <c r="Q307" s="49">
        <f t="shared" si="26"/>
        <v>20544.724000000002</v>
      </c>
      <c r="R307" s="13">
        <f>(+'[13]Oct10loa'!$I$42)/1000</f>
        <v>19691.467</v>
      </c>
      <c r="S307" s="13">
        <f>(+'[13]Oct10loa'!$I$43)/1000</f>
        <v>580.535</v>
      </c>
      <c r="T307" s="13">
        <f>(+'[13]Oct10loa'!$I$44)/1000</f>
        <v>272.722</v>
      </c>
      <c r="U307" s="49">
        <f>(+'[13]Oct10loa'!$J$46)/1000</f>
        <v>866.773</v>
      </c>
      <c r="V307" s="49">
        <f t="shared" si="27"/>
        <v>9430.966</v>
      </c>
      <c r="W307" s="13">
        <f>(+'[13]Oct10loa'!$I$49)/1000</f>
        <v>4812.12</v>
      </c>
      <c r="X307" s="13">
        <f>(+'[13]Oct10loa'!$I$50)/1000</f>
        <v>298.825</v>
      </c>
      <c r="Y307" s="13">
        <f>(+'[13]Oct10loa'!$I$51)/1000</f>
        <v>4320.021</v>
      </c>
      <c r="Z307" s="49">
        <f>(+'[13]Oct10loa'!$J$53)/1000</f>
        <v>5838.479</v>
      </c>
      <c r="AA307" s="49">
        <f t="shared" si="28"/>
        <v>30408.009</v>
      </c>
      <c r="AB307" s="13">
        <f>(+'[13]Oct10loa'!$I$56)/1000</f>
        <v>11140.194</v>
      </c>
      <c r="AC307" s="13">
        <f>(+'[13]Oct10loa'!$I$57)/1000</f>
        <v>0.033</v>
      </c>
      <c r="AD307" s="13">
        <f>(+'[13]Oct10loa'!$I$58)/1000</f>
        <v>15307.196</v>
      </c>
      <c r="AE307" s="13">
        <f>(+'[13]Oct10loa'!$I$59)/1000</f>
        <v>3960.586</v>
      </c>
      <c r="AF307" s="49">
        <f>(+'[13]Oct10loa'!$J$61)/1000</f>
        <v>28416.859</v>
      </c>
      <c r="AG307" s="49">
        <v>0</v>
      </c>
      <c r="AH307" s="49">
        <f>(+'[13]Oct10loa'!$J$63)/1000</f>
        <v>31687.163</v>
      </c>
      <c r="AI307" s="49">
        <f>(+'[13]Oct10loa'!$J$65)/1000</f>
        <v>470.71</v>
      </c>
      <c r="AJ307" s="49">
        <f>(+'[13]Oct10loa'!$J$67)/1000</f>
        <v>17474.889</v>
      </c>
      <c r="AK307" s="49">
        <f>(+'[13]Oct10loa'!$J$73)/1000</f>
        <v>86648.646</v>
      </c>
      <c r="AL307" s="49">
        <f>(+'[13]Oct10loa'!$J$77)/1000</f>
        <v>6830.244</v>
      </c>
      <c r="AM307" s="14">
        <f t="shared" si="29"/>
        <v>251649.381</v>
      </c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8"/>
      <c r="ED307" s="18"/>
      <c r="EE307" s="18"/>
      <c r="EF307" s="18"/>
      <c r="EG307" s="18"/>
      <c r="EH307" s="18"/>
      <c r="EI307" s="18"/>
      <c r="EJ307" s="18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</row>
    <row r="308" spans="1:159" s="19" customFormat="1" ht="15">
      <c r="A308" s="22">
        <v>40512</v>
      </c>
      <c r="B308" s="49">
        <f t="shared" si="24"/>
        <v>4571.552</v>
      </c>
      <c r="C308" s="13">
        <f>(+'[14]Nov10loa'!$I$10)/1000</f>
        <v>4418.968</v>
      </c>
      <c r="D308" s="13">
        <f>(+'[14]Nov10loa'!$I$19)/1000</f>
        <v>150.44</v>
      </c>
      <c r="E308" s="13">
        <f>(+'[14]Nov10loa'!$I$23)/1000</f>
        <v>2.144</v>
      </c>
      <c r="F308" s="49">
        <f>(+'[14]Nov10loa'!$J$25)/1000</f>
        <v>428.653</v>
      </c>
      <c r="G308" s="49">
        <f t="shared" si="25"/>
        <v>7813.751</v>
      </c>
      <c r="H308" s="13">
        <f>(+'[14]Nov10loa'!$I$30)/1000</f>
        <v>114.88</v>
      </c>
      <c r="I308" s="13">
        <f>(+'[14]Nov10loa'!$I$31+'[14]Nov10loa'!$I$32)/1000</f>
        <v>1758.024</v>
      </c>
      <c r="J308" s="13">
        <f>(+'[14]Nov10loa'!$I$33)/1000</f>
        <v>122.446</v>
      </c>
      <c r="K308" s="13">
        <f>(+'[14]Nov10loa'!$I$34)/1000</f>
        <v>147.436</v>
      </c>
      <c r="L308" s="13">
        <f>(+'[14]Nov10loa'!$I$35)/1000</f>
        <v>690.907</v>
      </c>
      <c r="M308" s="13">
        <f>(+'[14]Nov10loa'!$I$36)/1000</f>
        <v>392.553</v>
      </c>
      <c r="N308" s="13">
        <f>(+'[14]Nov10loa'!$I$37)/1000</f>
        <v>1073.662</v>
      </c>
      <c r="O308" s="13">
        <f>(+'[14]Nov10loa'!$I$38)/1000</f>
        <v>645.334</v>
      </c>
      <c r="P308" s="13">
        <f>(+'[14]Nov10loa'!$I$39)/1000</f>
        <v>2868.509</v>
      </c>
      <c r="Q308" s="49">
        <f t="shared" si="26"/>
        <v>20553.325</v>
      </c>
      <c r="R308" s="13">
        <f>(+'[14]Nov10loa'!$I$42)/1000</f>
        <v>19695.001</v>
      </c>
      <c r="S308" s="13">
        <f>(+'[14]Nov10loa'!$I$43)/1000</f>
        <v>581.246</v>
      </c>
      <c r="T308" s="13">
        <f>(+'[14]Nov10loa'!$I$44)/1000</f>
        <v>277.078</v>
      </c>
      <c r="U308" s="49">
        <f>(+'[14]Nov10loa'!$J$46)/1000</f>
        <v>1067.86</v>
      </c>
      <c r="V308" s="49">
        <f t="shared" si="27"/>
        <v>9351.123</v>
      </c>
      <c r="W308" s="13">
        <f>(+'[14]Nov10loa'!$I$49)/1000</f>
        <v>4888.277</v>
      </c>
      <c r="X308" s="13">
        <f>(+'[14]Nov10loa'!$I$50)/1000</f>
        <v>291.735</v>
      </c>
      <c r="Y308" s="13">
        <f>(+'[14]Nov10loa'!$I$51)/1000</f>
        <v>4171.111</v>
      </c>
      <c r="Z308" s="49">
        <f>(+'[14]Nov10loa'!$J$53)/1000</f>
        <v>4980.845</v>
      </c>
      <c r="AA308" s="49">
        <f t="shared" si="28"/>
        <v>29689.301</v>
      </c>
      <c r="AB308" s="13">
        <f>(+'[14]Nov10loa'!$I$56)/1000</f>
        <v>11255.606</v>
      </c>
      <c r="AC308" s="13">
        <f>(+'[14]Nov10loa'!$I$57)/1000</f>
        <v>0.033</v>
      </c>
      <c r="AD308" s="13">
        <f>(+'[14]Nov10loa'!$I$58)/1000</f>
        <v>14448.214</v>
      </c>
      <c r="AE308" s="13">
        <f>(+'[14]Nov10loa'!$I$59)/1000</f>
        <v>3985.448</v>
      </c>
      <c r="AF308" s="49">
        <f>(+'[14]Nov10loa'!$J$61)/1000</f>
        <v>28939.545</v>
      </c>
      <c r="AG308" s="49">
        <v>0</v>
      </c>
      <c r="AH308" s="49">
        <f>(+'[14]Nov10loa'!$J$63)/1000</f>
        <v>31680.651</v>
      </c>
      <c r="AI308" s="49">
        <f>(+'[14]Nov10loa'!$J$65)/1000</f>
        <v>477.169</v>
      </c>
      <c r="AJ308" s="49">
        <f>(+'[14]Nov10loa'!$J$67)/1000</f>
        <v>17374.385</v>
      </c>
      <c r="AK308" s="49">
        <f>(+'[14]Nov10loa'!$J$73)/1000</f>
        <v>87216.835</v>
      </c>
      <c r="AL308" s="49">
        <f>(+'[14]Nov10loa'!$J$77)/1000</f>
        <v>6855.743</v>
      </c>
      <c r="AM308" s="14">
        <f t="shared" si="29"/>
        <v>251000.73799999998</v>
      </c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8"/>
      <c r="ED308" s="18"/>
      <c r="EE308" s="18"/>
      <c r="EF308" s="18"/>
      <c r="EG308" s="18"/>
      <c r="EH308" s="18"/>
      <c r="EI308" s="18"/>
      <c r="EJ308" s="18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</row>
    <row r="309" spans="1:159" s="19" customFormat="1" ht="15">
      <c r="A309" s="22">
        <v>40543</v>
      </c>
      <c r="B309" s="49">
        <f t="shared" si="24"/>
        <v>4519.525000000001</v>
      </c>
      <c r="C309" s="13">
        <f>(+'[15]Dec10loa'!$I$10)/1000</f>
        <v>4352.404</v>
      </c>
      <c r="D309" s="13">
        <f>(+'[15]Dec10loa'!$I$19)/1000</f>
        <v>165.005</v>
      </c>
      <c r="E309" s="13">
        <f>(+'[15]Dec10loa'!$I$23)/1000</f>
        <v>2.116</v>
      </c>
      <c r="F309" s="49">
        <f>(+'[15]Dec10loa'!$J$25)/1000</f>
        <v>426.384</v>
      </c>
      <c r="G309" s="49">
        <f t="shared" si="25"/>
        <v>8296.1</v>
      </c>
      <c r="H309" s="13">
        <f>(+'[15]Dec10loa'!$I$30)/1000</f>
        <v>112.238</v>
      </c>
      <c r="I309" s="13">
        <f>(+'[15]Dec10loa'!$I$31+'[15]Dec10loa'!$I$32)/1000</f>
        <v>1912.513</v>
      </c>
      <c r="J309" s="13">
        <f>(+'[15]Dec10loa'!$I$33)/1000</f>
        <v>128.022</v>
      </c>
      <c r="K309" s="13">
        <f>(+'[15]Dec10loa'!$I$34)/1000</f>
        <v>134.235</v>
      </c>
      <c r="L309" s="13">
        <f>(+'[15]Dec10loa'!$I$35)/1000</f>
        <v>648.167</v>
      </c>
      <c r="M309" s="13">
        <f>(+'[15]Dec10loa'!$I$36)/1000</f>
        <v>379.154</v>
      </c>
      <c r="N309" s="13">
        <f>(+'[15]Dec10loa'!$I$37)/1000</f>
        <v>1087.646</v>
      </c>
      <c r="O309" s="13">
        <f>(+'[15]Dec10loa'!$I$38)/1000</f>
        <v>648.803</v>
      </c>
      <c r="P309" s="13">
        <f>(+'[15]Dec10loa'!$I$39)/1000</f>
        <v>3245.322</v>
      </c>
      <c r="Q309" s="49">
        <f t="shared" si="26"/>
        <v>21962.553</v>
      </c>
      <c r="R309" s="13">
        <f>(+'[15]Dec10loa'!$I$42)/1000</f>
        <v>21139.999</v>
      </c>
      <c r="S309" s="13">
        <f>(+'[15]Dec10loa'!$I$43)/1000</f>
        <v>545.299</v>
      </c>
      <c r="T309" s="13">
        <f>(+'[15]Dec10loa'!$I$44)/1000</f>
        <v>277.255</v>
      </c>
      <c r="U309" s="49">
        <f>(+'[15]Dec10loa'!$J$46)/1000</f>
        <v>944.145</v>
      </c>
      <c r="V309" s="49">
        <f t="shared" si="27"/>
        <v>8993.26</v>
      </c>
      <c r="W309" s="13">
        <f>(+'[15]Dec10loa'!$I$49)/1000</f>
        <v>4807.732</v>
      </c>
      <c r="X309" s="13">
        <f>(+'[15]Dec10loa'!$I$50)/1000</f>
        <v>287.475</v>
      </c>
      <c r="Y309" s="13">
        <f>(+'[15]Dec10loa'!$I$51)/1000</f>
        <v>3898.053</v>
      </c>
      <c r="Z309" s="49">
        <f>(+'[15]Dec10loa'!$J$53)/1000</f>
        <v>4590.927</v>
      </c>
      <c r="AA309" s="49">
        <f t="shared" si="28"/>
        <v>30138.267</v>
      </c>
      <c r="AB309" s="13">
        <f>(+'[15]Dec10loa'!$I$56)/1000</f>
        <v>11044.879</v>
      </c>
      <c r="AC309" s="13">
        <f>(+'[15]Dec10loa'!$I$57)/1000</f>
        <v>1.477</v>
      </c>
      <c r="AD309" s="13">
        <f>(+'[15]Dec10loa'!$I$58)/1000</f>
        <v>15086.881</v>
      </c>
      <c r="AE309" s="13">
        <f>(+'[15]Dec10loa'!$I$59)/1000</f>
        <v>4005.03</v>
      </c>
      <c r="AF309" s="49">
        <f>(+'[15]Dec10loa'!$J$61)/1000</f>
        <v>27901.072</v>
      </c>
      <c r="AG309" s="49">
        <v>0</v>
      </c>
      <c r="AH309" s="49">
        <f>(+'[15]Dec10loa'!$J$63)/1000</f>
        <v>31153.52</v>
      </c>
      <c r="AI309" s="49">
        <f>(+'[15]Dec10loa'!$J$65)/1000</f>
        <v>448.362</v>
      </c>
      <c r="AJ309" s="49">
        <f>(+'[15]Dec10loa'!$J$67)/1000</f>
        <v>17326.334</v>
      </c>
      <c r="AK309" s="49">
        <f>(+'[15]Dec10loa'!$J$73)/1000</f>
        <v>87881.669</v>
      </c>
      <c r="AL309" s="49">
        <f>(+'[15]Dec10loa'!$J$77)/1000</f>
        <v>6758.515</v>
      </c>
      <c r="AM309" s="14">
        <f t="shared" si="29"/>
        <v>251340.633</v>
      </c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8"/>
      <c r="ED309" s="18"/>
      <c r="EE309" s="18"/>
      <c r="EF309" s="18"/>
      <c r="EG309" s="18"/>
      <c r="EH309" s="18"/>
      <c r="EI309" s="18"/>
      <c r="EJ309" s="18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</row>
    <row r="310" spans="1:159" s="19" customFormat="1" ht="15">
      <c r="A310" s="22">
        <v>40574</v>
      </c>
      <c r="B310" s="49">
        <f t="shared" si="24"/>
        <v>4474.075</v>
      </c>
      <c r="C310" s="13">
        <f>(+'[16]Jan11loa'!$I$10)/1000</f>
        <v>4310.83</v>
      </c>
      <c r="D310" s="13">
        <f>(+'[16]Jan11loa'!$I$19)/1000</f>
        <v>161.156</v>
      </c>
      <c r="E310" s="13">
        <f>(+'[16]Jan11loa'!$I$23)/1000</f>
        <v>2.089</v>
      </c>
      <c r="F310" s="49">
        <f>(+'[16]Jan11loa'!$J$25)/1000</f>
        <v>419.034</v>
      </c>
      <c r="G310" s="49">
        <f t="shared" si="25"/>
        <v>8137.649000000001</v>
      </c>
      <c r="H310" s="13">
        <f>(+'[16]Jan11loa'!$I$30)/1000</f>
        <v>108.002</v>
      </c>
      <c r="I310" s="13">
        <f>(+'[16]Jan11loa'!$I$31+'[16]Jan11loa'!$I$32)/1000</f>
        <v>1902.04</v>
      </c>
      <c r="J310" s="13">
        <f>(+'[16]Jan11loa'!$I$33)/1000</f>
        <v>119.332</v>
      </c>
      <c r="K310" s="13">
        <f>(+'[16]Jan11loa'!$I$34)/1000</f>
        <v>136.253</v>
      </c>
      <c r="L310" s="13">
        <f>(+'[16]Jan11loa'!$I$35)/1000</f>
        <v>633.57</v>
      </c>
      <c r="M310" s="13">
        <f>(+'[16]Jan11loa'!$I$36)/1000</f>
        <v>377.336</v>
      </c>
      <c r="N310" s="13">
        <f>(+'[16]Jan11loa'!$I$37)/1000</f>
        <v>884.992</v>
      </c>
      <c r="O310" s="13">
        <f>(+'[16]Jan11loa'!$I$38)/1000</f>
        <v>569.541</v>
      </c>
      <c r="P310" s="13">
        <f>(+'[16]Jan11loa'!$I$39)/1000</f>
        <v>3406.583</v>
      </c>
      <c r="Q310" s="49">
        <f t="shared" si="26"/>
        <v>20509.033</v>
      </c>
      <c r="R310" s="13">
        <f>(+'[16]Jan11loa'!$I$42)/1000</f>
        <v>19754.876</v>
      </c>
      <c r="S310" s="13">
        <f>(+'[16]Jan11loa'!$I$43)/1000</f>
        <v>538.716</v>
      </c>
      <c r="T310" s="13">
        <f>(+'[16]Jan11loa'!$I$44)/1000</f>
        <v>215.441</v>
      </c>
      <c r="U310" s="49">
        <f>(+'[16]Jan11loa'!$J$46)/1000</f>
        <v>945.575</v>
      </c>
      <c r="V310" s="49">
        <f t="shared" si="27"/>
        <v>9143.129</v>
      </c>
      <c r="W310" s="13">
        <f>(+'[16]Jan11loa'!$I$49)/1000</f>
        <v>4708.714</v>
      </c>
      <c r="X310" s="13">
        <f>(+'[16]Jan11loa'!$I$50)/1000</f>
        <v>283.524</v>
      </c>
      <c r="Y310" s="13">
        <f>(+'[16]Jan11loa'!$I$51)/1000</f>
        <v>4150.891</v>
      </c>
      <c r="Z310" s="49">
        <f>(+'[16]Jan11loa'!$J$53)/1000</f>
        <v>4270.493</v>
      </c>
      <c r="AA310" s="49">
        <f t="shared" si="28"/>
        <v>28858.338000000003</v>
      </c>
      <c r="AB310" s="13">
        <f>(+'[16]Jan11loa'!$I$56)/1000</f>
        <v>11011.777</v>
      </c>
      <c r="AC310" s="13">
        <f>(+'[16]Jan11loa'!$I$57)/1000</f>
        <v>1.408</v>
      </c>
      <c r="AD310" s="13">
        <f>(+'[16]Jan11loa'!$I$58)/1000</f>
        <v>13834.893</v>
      </c>
      <c r="AE310" s="13">
        <f>(+'[16]Jan11loa'!$I$59)/1000</f>
        <v>4010.26</v>
      </c>
      <c r="AF310" s="49">
        <f>(+'[16]Jan11loa'!$J$61)/1000</f>
        <v>26872.889</v>
      </c>
      <c r="AG310" s="49">
        <v>0</v>
      </c>
      <c r="AH310" s="49">
        <f>(+'[16]Jan11loa'!$J$63)/1000</f>
        <v>32432.392</v>
      </c>
      <c r="AI310" s="49">
        <f>(+'[16]Jan11loa'!$J$65)/1000</f>
        <v>419.932</v>
      </c>
      <c r="AJ310" s="49">
        <f>(+'[16]Jan11loa'!$J$67)/1000</f>
        <v>16995.949</v>
      </c>
      <c r="AK310" s="49">
        <f>(+'[16]Jan11loa'!$J$73)/1000</f>
        <v>87608.032</v>
      </c>
      <c r="AL310" s="49">
        <f>(+'[16]Jan11loa'!$J$77)/1000</f>
        <v>6738.274</v>
      </c>
      <c r="AM310" s="14">
        <f t="shared" si="29"/>
        <v>247824.794</v>
      </c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8"/>
      <c r="ED310" s="18"/>
      <c r="EE310" s="18"/>
      <c r="EF310" s="18"/>
      <c r="EG310" s="18"/>
      <c r="EH310" s="18"/>
      <c r="EI310" s="18"/>
      <c r="EJ310" s="18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</row>
    <row r="311" spans="1:159" s="19" customFormat="1" ht="15">
      <c r="A311" s="22">
        <v>40602</v>
      </c>
      <c r="B311" s="49">
        <f t="shared" si="24"/>
        <v>4459.551</v>
      </c>
      <c r="C311" s="13">
        <f>(+'[17]Feb11loa'!$I$10)/1000</f>
        <v>4288.363</v>
      </c>
      <c r="D311" s="13">
        <f>(+'[17]Feb11loa'!$I$19)/1000</f>
        <v>169.203</v>
      </c>
      <c r="E311" s="13">
        <f>(+'[17]Feb11loa'!$I$23)/1000</f>
        <v>1.985</v>
      </c>
      <c r="F311" s="49">
        <f>(+'[17]Feb11loa'!$J$25)/1000</f>
        <v>422.179</v>
      </c>
      <c r="G311" s="49">
        <f t="shared" si="25"/>
        <v>8578.624</v>
      </c>
      <c r="H311" s="13">
        <f>(+'[17]Feb11loa'!$I$30)/1000</f>
        <v>106.433</v>
      </c>
      <c r="I311" s="13">
        <f>(+'[17]Feb11loa'!$I$31+'[17]Feb11loa'!$I$32)/1000</f>
        <v>1806.823</v>
      </c>
      <c r="J311" s="13">
        <f>(+'[17]Feb11loa'!$I$33)/1000</f>
        <v>128.899</v>
      </c>
      <c r="K311" s="13">
        <f>(+'[17]Feb11loa'!$I$34)/1000</f>
        <v>143.508</v>
      </c>
      <c r="L311" s="13">
        <f>(+'[17]Feb11loa'!$I$35)/1000</f>
        <v>641.155</v>
      </c>
      <c r="M311" s="13">
        <f>(+'[17]Feb11loa'!$I$36)/1000</f>
        <v>383.395</v>
      </c>
      <c r="N311" s="13">
        <f>(+'[17]Feb11loa'!$I$37)/1000</f>
        <v>1036.034</v>
      </c>
      <c r="O311" s="13">
        <f>(+'[17]Feb11loa'!$I$38)/1000</f>
        <v>821.438</v>
      </c>
      <c r="P311" s="13">
        <f>(+'[17]Feb11loa'!$I$39)/1000</f>
        <v>3510.939</v>
      </c>
      <c r="Q311" s="49">
        <f t="shared" si="26"/>
        <v>20594.210999999996</v>
      </c>
      <c r="R311" s="13">
        <f>(+'[17]Feb11loa'!$I$42)/1000</f>
        <v>19854.191</v>
      </c>
      <c r="S311" s="13">
        <f>(+'[17]Feb11loa'!$I$43)/1000</f>
        <v>527.956</v>
      </c>
      <c r="T311" s="13">
        <f>(+'[17]Feb11loa'!$I$44)/1000</f>
        <v>212.064</v>
      </c>
      <c r="U311" s="49">
        <f>(+'[17]Feb11loa'!$J$46)/1000</f>
        <v>1037.129</v>
      </c>
      <c r="V311" s="49">
        <f t="shared" si="27"/>
        <v>9165.289</v>
      </c>
      <c r="W311" s="13">
        <f>(+'[17]Feb11loa'!$I$49)/1000</f>
        <v>4667.188</v>
      </c>
      <c r="X311" s="13">
        <f>(+'[17]Feb11loa'!$I$50)/1000</f>
        <v>283.94</v>
      </c>
      <c r="Y311" s="13">
        <f>(+'[17]Feb11loa'!$I$51)/1000</f>
        <v>4214.161</v>
      </c>
      <c r="Z311" s="49">
        <f>(+'[17]Feb11loa'!$J$53)/1000</f>
        <v>5490.835</v>
      </c>
      <c r="AA311" s="49">
        <f t="shared" si="28"/>
        <v>30196.095999999998</v>
      </c>
      <c r="AB311" s="13">
        <f>(+'[17]Feb11loa'!$I$56)/1000</f>
        <v>11027.65</v>
      </c>
      <c r="AC311" s="13">
        <f>(+'[17]Feb11loa'!$I$57)/1000</f>
        <v>1.746</v>
      </c>
      <c r="AD311" s="13">
        <f>(+'[17]Feb11loa'!$I$58)/1000</f>
        <v>15159.308</v>
      </c>
      <c r="AE311" s="13">
        <f>(+'[17]Feb11loa'!$I$59)/1000</f>
        <v>4007.392</v>
      </c>
      <c r="AF311" s="49">
        <f>(+'[17]Feb11loa'!$J$61)/1000</f>
        <v>27078.267</v>
      </c>
      <c r="AG311" s="49">
        <v>0</v>
      </c>
      <c r="AH311" s="49">
        <f>(+'[17]Feb11loa'!$J$63)/1000</f>
        <v>32588.187</v>
      </c>
      <c r="AI311" s="49">
        <f>(+'[17]Feb11loa'!$J$65)/1000</f>
        <v>404.491</v>
      </c>
      <c r="AJ311" s="49">
        <f>(+'[17]Feb11loa'!$J$67)/1000</f>
        <v>16947.048</v>
      </c>
      <c r="AK311" s="49">
        <f>(+'[17]Feb11loa'!$J$73)/1000</f>
        <v>88289.099</v>
      </c>
      <c r="AL311" s="49">
        <f>(+'[17]Feb11loa'!$J$77)/1000</f>
        <v>6680.416</v>
      </c>
      <c r="AM311" s="14">
        <f t="shared" si="29"/>
        <v>251931.422</v>
      </c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8"/>
      <c r="ED311" s="18"/>
      <c r="EE311" s="18"/>
      <c r="EF311" s="18"/>
      <c r="EG311" s="18"/>
      <c r="EH311" s="18"/>
      <c r="EI311" s="18"/>
      <c r="EJ311" s="18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</row>
    <row r="312" spans="1:159" s="19" customFormat="1" ht="15">
      <c r="A312" s="22">
        <v>40633</v>
      </c>
      <c r="B312" s="49">
        <f t="shared" si="24"/>
        <v>4420.477</v>
      </c>
      <c r="C312" s="13">
        <f>(+'[18]Mar11loa'!$I$10)/1000</f>
        <v>4253.042</v>
      </c>
      <c r="D312" s="13">
        <f>(+'[18]Mar11loa'!$I$19)/1000</f>
        <v>165.553</v>
      </c>
      <c r="E312" s="13">
        <f>(+'[18]Mar11loa'!$I$23)/1000</f>
        <v>1.882</v>
      </c>
      <c r="F312" s="49">
        <f>(+'[18]Mar11loa'!$J$25)/1000</f>
        <v>431.743</v>
      </c>
      <c r="G312" s="49">
        <f t="shared" si="25"/>
        <v>8476.793000000001</v>
      </c>
      <c r="H312" s="13">
        <f>(+'[18]Mar11loa'!$I$30)/1000</f>
        <v>105.491</v>
      </c>
      <c r="I312" s="13">
        <f>(+'[18]Mar11loa'!$I$31+'[18]Mar11loa'!$I$32)/1000</f>
        <v>1804.557</v>
      </c>
      <c r="J312" s="13">
        <f>(+'[18]Mar11loa'!$I$33)/1000</f>
        <v>102.132</v>
      </c>
      <c r="K312" s="13">
        <f>(+'[18]Mar11loa'!$I$34)/1000</f>
        <v>140.747</v>
      </c>
      <c r="L312" s="13">
        <f>(+'[18]Mar11loa'!$I$35)/1000</f>
        <v>641.835</v>
      </c>
      <c r="M312" s="13">
        <f>(+'[18]Mar11loa'!$I$36)/1000</f>
        <v>238.367</v>
      </c>
      <c r="N312" s="13">
        <f>(+'[18]Mar11loa'!$I$37)/1000</f>
        <v>1020.913</v>
      </c>
      <c r="O312" s="13">
        <f>(+'[18]Mar11loa'!$I$38)/1000</f>
        <v>814.393</v>
      </c>
      <c r="P312" s="13">
        <f>(+'[18]Mar11loa'!$I$39)/1000</f>
        <v>3608.358</v>
      </c>
      <c r="Q312" s="49">
        <f t="shared" si="26"/>
        <v>19989.755999999998</v>
      </c>
      <c r="R312" s="13">
        <f>(+'[18]Mar11loa'!$I$42)/1000</f>
        <v>19259.281</v>
      </c>
      <c r="S312" s="13">
        <f>(+'[18]Mar11loa'!$I$43)/1000</f>
        <v>520.64</v>
      </c>
      <c r="T312" s="13">
        <f>(+'[18]Mar11loa'!$I$44)/1000</f>
        <v>209.835</v>
      </c>
      <c r="U312" s="49">
        <f>(+'[18]Mar11loa'!$J$46)/1000</f>
        <v>933.726</v>
      </c>
      <c r="V312" s="49">
        <f t="shared" si="27"/>
        <v>8917.955</v>
      </c>
      <c r="W312" s="13">
        <f>(+'[18]Mar11loa'!$I$49)/1000</f>
        <v>4562.463</v>
      </c>
      <c r="X312" s="13">
        <f>(+'[18]Mar11loa'!$I$50)/1000</f>
        <v>284.593</v>
      </c>
      <c r="Y312" s="13">
        <f>(+'[18]Mar11loa'!$I$51)/1000</f>
        <v>4070.899</v>
      </c>
      <c r="Z312" s="49">
        <f>(+'[18]Mar11loa'!$J$53)/1000</f>
        <v>6026.621</v>
      </c>
      <c r="AA312" s="49">
        <f t="shared" si="28"/>
        <v>27685.857999999997</v>
      </c>
      <c r="AB312" s="13">
        <f>(+'[18]Mar11loa'!$I$56)/1000</f>
        <v>10878.597</v>
      </c>
      <c r="AC312" s="13">
        <f>(+'[18]Mar11loa'!$I$57)/1000</f>
        <v>1.097</v>
      </c>
      <c r="AD312" s="13">
        <f>(+'[18]Mar11loa'!$I$58)/1000</f>
        <v>12897.188</v>
      </c>
      <c r="AE312" s="13">
        <f>(+'[18]Mar11loa'!$I$59)/1000</f>
        <v>3908.976</v>
      </c>
      <c r="AF312" s="49">
        <f>(+'[18]Mar11loa'!$J$61)/1000</f>
        <v>28000.269</v>
      </c>
      <c r="AG312" s="49">
        <v>0</v>
      </c>
      <c r="AH312" s="49">
        <f>(+'[18]Mar11loa'!$J$63)/1000</f>
        <v>30602.492</v>
      </c>
      <c r="AI312" s="49">
        <f>(+'[18]Mar11loa'!$J$65)/1000</f>
        <v>418.437</v>
      </c>
      <c r="AJ312" s="49">
        <f>(+'[18]Mar11loa'!$J$67)/1000</f>
        <v>17566.371</v>
      </c>
      <c r="AK312" s="49">
        <f>(+'[18]Mar11loa'!$J$73)/1000</f>
        <v>88710.896</v>
      </c>
      <c r="AL312" s="49">
        <f>(+'[18]Mar11loa'!$J$77)/1000</f>
        <v>6742.854</v>
      </c>
      <c r="AM312" s="14">
        <f t="shared" si="29"/>
        <v>248924.24800000002</v>
      </c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8"/>
      <c r="ED312" s="18"/>
      <c r="EE312" s="18"/>
      <c r="EF312" s="18"/>
      <c r="EG312" s="18"/>
      <c r="EH312" s="18"/>
      <c r="EI312" s="18"/>
      <c r="EJ312" s="18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</row>
    <row r="313" spans="1:159" s="19" customFormat="1" ht="15">
      <c r="A313" s="22">
        <v>40663</v>
      </c>
      <c r="B313" s="49">
        <f t="shared" si="24"/>
        <v>4409.701999999999</v>
      </c>
      <c r="C313" s="13">
        <f>(+'[207]Mar11loa'!$I$10)/1000</f>
        <v>4260.686</v>
      </c>
      <c r="D313" s="13">
        <f>(+'[207]Mar11loa'!$I$19)/1000</f>
        <v>147.209</v>
      </c>
      <c r="E313" s="13">
        <f>(+'[207]Mar11loa'!$I$23)/1000</f>
        <v>1.807</v>
      </c>
      <c r="F313" s="49">
        <f>(+'[207]Mar11loa'!$J$25)/1000</f>
        <v>479.205</v>
      </c>
      <c r="G313" s="49">
        <f t="shared" si="25"/>
        <v>8388.746</v>
      </c>
      <c r="H313" s="13">
        <f>(+'[207]Mar11loa'!$I$30)/1000</f>
        <v>103.234</v>
      </c>
      <c r="I313" s="13">
        <f>(+'[207]Mar11loa'!$I$31+'[207]Mar11loa'!$I$32)/1000</f>
        <v>1791.029</v>
      </c>
      <c r="J313" s="13">
        <f>(+'[207]Mar11loa'!$I$33)/1000</f>
        <v>104.097</v>
      </c>
      <c r="K313" s="13">
        <f>(+'[207]Mar11loa'!$I$34)/1000</f>
        <v>134.666</v>
      </c>
      <c r="L313" s="13">
        <f>(+'[207]Mar11loa'!$I$35)/1000</f>
        <v>614.448</v>
      </c>
      <c r="M313" s="13">
        <f>(+'[207]Mar11loa'!$I$36)/1000</f>
        <v>223.266</v>
      </c>
      <c r="N313" s="13">
        <f>(+'[207]Mar11loa'!$I$37)/1000</f>
        <v>974.66</v>
      </c>
      <c r="O313" s="13">
        <f>(+'[207]Mar11loa'!$I$38)/1000</f>
        <v>740.7</v>
      </c>
      <c r="P313" s="13">
        <f>(+'[207]Mar11loa'!$I$39)/1000</f>
        <v>3702.646</v>
      </c>
      <c r="Q313" s="49">
        <f t="shared" si="26"/>
        <v>19976.49</v>
      </c>
      <c r="R313" s="13">
        <f>(+'[207]Mar11loa'!$I$42)/1000</f>
        <v>19225.27</v>
      </c>
      <c r="S313" s="13">
        <f>(+'[207]Mar11loa'!$I$43)/1000</f>
        <v>536.873</v>
      </c>
      <c r="T313" s="13">
        <f>(+'[207]Mar11loa'!$I$44)/1000</f>
        <v>214.347</v>
      </c>
      <c r="U313" s="49">
        <f>(+'[207]Mar11loa'!$J$46)/1000</f>
        <v>933.08</v>
      </c>
      <c r="V313" s="49">
        <f t="shared" si="27"/>
        <v>8611.189</v>
      </c>
      <c r="W313" s="13">
        <f>(+'[207]Mar11loa'!$I$49)/1000</f>
        <v>4505.22</v>
      </c>
      <c r="X313" s="13">
        <f>(+'[207]Mar11loa'!$I$50)/1000</f>
        <v>279.509</v>
      </c>
      <c r="Y313" s="13">
        <f>(+'[207]Mar11loa'!$I$51)/1000</f>
        <v>3826.46</v>
      </c>
      <c r="Z313" s="49">
        <f>(+'[207]Mar11loa'!$J$53)/1000</f>
        <v>5909.64</v>
      </c>
      <c r="AA313" s="49">
        <f t="shared" si="28"/>
        <v>28398.447</v>
      </c>
      <c r="AB313" s="13">
        <f>(+'[207]Mar11loa'!$I$56)/1000</f>
        <v>10518.329</v>
      </c>
      <c r="AC313" s="13">
        <f>(+'[207]Mar11loa'!$I$57)/1000</f>
        <v>0.879</v>
      </c>
      <c r="AD313" s="13">
        <f>(+'[207]Mar11loa'!$I$58)/1000</f>
        <v>14026.163</v>
      </c>
      <c r="AE313" s="13">
        <f>(+'[207]Mar11loa'!$I$59)/1000</f>
        <v>3853.076</v>
      </c>
      <c r="AF313" s="49">
        <f>(+'[207]Mar11loa'!$J$61)/1000</f>
        <v>28720.436</v>
      </c>
      <c r="AG313" s="49">
        <v>0</v>
      </c>
      <c r="AH313" s="49">
        <f>(+'[207]Mar11loa'!$J$63)/1000</f>
        <v>30299.901</v>
      </c>
      <c r="AI313" s="49">
        <f>(+'[207]Mar11loa'!$J$65)/1000</f>
        <v>406.775</v>
      </c>
      <c r="AJ313" s="49">
        <f>(+'[207]Mar11loa'!$J$67)/1000</f>
        <v>17362.532</v>
      </c>
      <c r="AK313" s="49">
        <f>(+'[207]Mar11loa'!$J$73)/1000</f>
        <v>90072.69</v>
      </c>
      <c r="AL313" s="49">
        <f>(+'[207]Mar11loa'!$J$77)/1000</f>
        <v>6727.202</v>
      </c>
      <c r="AM313" s="14">
        <f t="shared" si="29"/>
        <v>250696.035</v>
      </c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8"/>
      <c r="ED313" s="18"/>
      <c r="EE313" s="18"/>
      <c r="EF313" s="18"/>
      <c r="EG313" s="18"/>
      <c r="EH313" s="18"/>
      <c r="EI313" s="18"/>
      <c r="EJ313" s="18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</row>
    <row r="314" spans="1:159" s="19" customFormat="1" ht="15">
      <c r="A314" s="22">
        <v>40694</v>
      </c>
      <c r="B314" s="49">
        <f t="shared" si="24"/>
        <v>4428.387000000001</v>
      </c>
      <c r="C314" s="13">
        <f>(+'[208]May11loa'!$I$10)/1000</f>
        <v>4249.688</v>
      </c>
      <c r="D314" s="13">
        <f>(+'[208]May11loa'!$I$19)/1000</f>
        <v>176.948</v>
      </c>
      <c r="E314" s="13">
        <f>(+'[208]May11loa'!$I$23)/1000</f>
        <v>1.751</v>
      </c>
      <c r="F314" s="49">
        <f>(+'[208]May11loa'!$J$25)/1000</f>
        <v>519.494</v>
      </c>
      <c r="G314" s="49">
        <f t="shared" si="25"/>
        <v>8126.888</v>
      </c>
      <c r="H314" s="13">
        <f>(+'[208]May11loa'!$I$30)/1000</f>
        <v>209.337</v>
      </c>
      <c r="I314" s="13">
        <f>(+'[208]May11loa'!$I$31+'[208]May11loa'!$I$32)/1000</f>
        <v>1646.175</v>
      </c>
      <c r="J314" s="13">
        <f>(+'[208]May11loa'!$I$33)/1000</f>
        <v>98.701</v>
      </c>
      <c r="K314" s="13">
        <f>(+'[208]May11loa'!$I$34)/1000</f>
        <v>149.784</v>
      </c>
      <c r="L314" s="13">
        <f>(+'[208]May11loa'!$I$35)/1000</f>
        <v>608.763</v>
      </c>
      <c r="M314" s="13">
        <f>(+'[208]May11loa'!$I$36)/1000</f>
        <v>223.542</v>
      </c>
      <c r="N314" s="13">
        <f>(+'[208]May11loa'!$I$37)/1000</f>
        <v>943.118</v>
      </c>
      <c r="O314" s="13">
        <f>(+'[208]May11loa'!$I$38)/1000</f>
        <v>752.811</v>
      </c>
      <c r="P314" s="13">
        <f>(+'[208]May11loa'!$I$39)/1000</f>
        <v>3494.657</v>
      </c>
      <c r="Q314" s="49">
        <f t="shared" si="26"/>
        <v>20125.726</v>
      </c>
      <c r="R314" s="13">
        <f>(+'[208]May11loa'!$I$42)/1000</f>
        <v>19453.102</v>
      </c>
      <c r="S314" s="13">
        <f>(+'[208]May11loa'!$I$43)/1000</f>
        <v>468.102</v>
      </c>
      <c r="T314" s="13">
        <f>(+'[208]May11loa'!$I$44)/1000</f>
        <v>204.522</v>
      </c>
      <c r="U314" s="49">
        <f>(+'[208]May11loa'!$J$46)/1000</f>
        <v>880.788</v>
      </c>
      <c r="V314" s="49">
        <f t="shared" si="27"/>
        <v>8869.789</v>
      </c>
      <c r="W314" s="13">
        <f>(+'[208]May11loa'!$I$49)/1000</f>
        <v>4509.746</v>
      </c>
      <c r="X314" s="13">
        <f>(+'[208]May11loa'!$I$50)/1000</f>
        <v>565.126</v>
      </c>
      <c r="Y314" s="13">
        <f>(+'[208]May11loa'!$I$51)/1000</f>
        <v>3794.917</v>
      </c>
      <c r="Z314" s="49">
        <f>(+'[208]May11loa'!$J$53)/1000</f>
        <v>6059.703</v>
      </c>
      <c r="AA314" s="49">
        <f t="shared" si="28"/>
        <v>29261.561</v>
      </c>
      <c r="AB314" s="13">
        <f>(+'[208]May11loa'!$I$56)/1000</f>
        <v>10586.171</v>
      </c>
      <c r="AC314" s="13">
        <f>(+'[208]May11loa'!$I$57)/1000</f>
        <v>0.426</v>
      </c>
      <c r="AD314" s="13">
        <f>(+'[208]May11loa'!$I$58)/1000</f>
        <v>14817.097</v>
      </c>
      <c r="AE314" s="13">
        <f>(+'[208]May11loa'!$I$59)/1000</f>
        <v>3857.867</v>
      </c>
      <c r="AF314" s="49">
        <f>(+'[208]May11loa'!$J$61)/1000</f>
        <v>29160.133</v>
      </c>
      <c r="AG314" s="49">
        <v>0</v>
      </c>
      <c r="AH314" s="49">
        <f>(+'[208]May11loa'!$J$63)/1000</f>
        <v>30801.104</v>
      </c>
      <c r="AI314" s="49">
        <f>(+'[208]May11loa'!$J$65)/1000</f>
        <v>391.066</v>
      </c>
      <c r="AJ314" s="49">
        <f>(+'[208]May11loa'!$J$67)/1000</f>
        <v>17483.759</v>
      </c>
      <c r="AK314" s="49">
        <f>(+'[208]May11loa'!$J$73)/1000</f>
        <v>91032.359</v>
      </c>
      <c r="AL314" s="49">
        <f>(+'[208]May11loa'!$J$77)/1000</f>
        <v>6818.733</v>
      </c>
      <c r="AM314" s="14">
        <f t="shared" si="29"/>
        <v>253959.49</v>
      </c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8"/>
      <c r="ED314" s="18"/>
      <c r="EE314" s="18"/>
      <c r="EF314" s="18"/>
      <c r="EG314" s="18"/>
      <c r="EH314" s="18"/>
      <c r="EI314" s="18"/>
      <c r="EJ314" s="18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</row>
    <row r="315" spans="1:159" s="19" customFormat="1" ht="15">
      <c r="A315" s="22">
        <v>40724</v>
      </c>
      <c r="B315" s="49">
        <f t="shared" si="24"/>
        <v>4440.131</v>
      </c>
      <c r="C315" s="13">
        <f>(+'[209]Jun11loa'!$I$10)/1000</f>
        <v>4256.335</v>
      </c>
      <c r="D315" s="13">
        <f>(+'[209]Jun11loa'!$I$19)/1000</f>
        <v>152.223</v>
      </c>
      <c r="E315" s="13">
        <f>(+'[209]Jun11loa'!$I$23)/1000</f>
        <v>31.573</v>
      </c>
      <c r="F315" s="49">
        <f>(+'[209]Jun11loa'!$J$25)/1000</f>
        <v>480.927</v>
      </c>
      <c r="G315" s="49">
        <f t="shared" si="25"/>
        <v>8376.962</v>
      </c>
      <c r="H315" s="13">
        <f>(+'[209]Jun11loa'!$I$30)/1000</f>
        <v>197.023</v>
      </c>
      <c r="I315" s="13">
        <f>(+'[209]Jun11loa'!$I$31+'[209]Jun11loa'!$I$32)/1000</f>
        <v>2015.627</v>
      </c>
      <c r="J315" s="13">
        <f>(+'[209]Jun11loa'!$I$33)/1000</f>
        <v>114.719</v>
      </c>
      <c r="K315" s="13">
        <f>(+'[209]Jun11loa'!$I$34)/1000</f>
        <v>152.555</v>
      </c>
      <c r="L315" s="13">
        <f>(+'[209]Jun11loa'!$I$35)/1000</f>
        <v>630.036</v>
      </c>
      <c r="M315" s="13">
        <f>(+'[209]Jun11loa'!$I$36)/1000</f>
        <v>227.02</v>
      </c>
      <c r="N315" s="13">
        <f>(+'[209]Jun11loa'!$I$37)/1000</f>
        <v>939.815</v>
      </c>
      <c r="O315" s="13">
        <f>(+'[209]Jun11loa'!$I$38)/1000</f>
        <v>1096.088</v>
      </c>
      <c r="P315" s="13">
        <f>(+'[209]Jun11loa'!$I$39)/1000</f>
        <v>3004.079</v>
      </c>
      <c r="Q315" s="49">
        <f t="shared" si="26"/>
        <v>20023.672</v>
      </c>
      <c r="R315" s="13">
        <f>(+'[209]Jun11loa'!$I$42)/1000</f>
        <v>19350.17</v>
      </c>
      <c r="S315" s="13">
        <f>(+'[209]Jun11loa'!$I$43)/1000</f>
        <v>468.228</v>
      </c>
      <c r="T315" s="13">
        <f>(+'[209]Jun11loa'!$I$44)/1000</f>
        <v>205.274</v>
      </c>
      <c r="U315" s="49">
        <f>(+'[209]Jun11loa'!$J$46)/1000</f>
        <v>922.814</v>
      </c>
      <c r="V315" s="49">
        <f t="shared" si="27"/>
        <v>9067.872</v>
      </c>
      <c r="W315" s="13">
        <f>(+'[209]Jun11loa'!$I$49)/1000</f>
        <v>4604.772</v>
      </c>
      <c r="X315" s="13">
        <f>(+'[209]Jun11loa'!$I$50)/1000</f>
        <v>561.253</v>
      </c>
      <c r="Y315" s="13">
        <f>(+'[209]Jun11loa'!$I$51)/1000</f>
        <v>3901.847</v>
      </c>
      <c r="Z315" s="49">
        <f>(+'[209]Jun11loa'!$J$53)/1000</f>
        <v>6060.993</v>
      </c>
      <c r="AA315" s="49">
        <f t="shared" si="28"/>
        <v>29827.288</v>
      </c>
      <c r="AB315" s="13">
        <f>(+'[209]Jun11loa'!$I$56)/1000</f>
        <v>10400.446</v>
      </c>
      <c r="AC315" s="13">
        <f>(+'[209]Jun11loa'!$I$57)/1000</f>
        <v>0.033</v>
      </c>
      <c r="AD315" s="13">
        <f>(+'[209]Jun11loa'!$I$58)/1000</f>
        <v>15530.874</v>
      </c>
      <c r="AE315" s="13">
        <f>(+'[209]Jun11loa'!$I$59)/1000</f>
        <v>3895.935</v>
      </c>
      <c r="AF315" s="49">
        <f>(+'[209]Jun11loa'!$J$61)/1000</f>
        <v>26150.894</v>
      </c>
      <c r="AG315" s="49">
        <v>0</v>
      </c>
      <c r="AH315" s="49">
        <f>(+'[209]Jun11loa'!$J$63)/1000</f>
        <v>30916.01</v>
      </c>
      <c r="AI315" s="49">
        <f>(+'[209]Jun11loa'!$J$65)/1000</f>
        <v>421.353</v>
      </c>
      <c r="AJ315" s="49">
        <f>(+'[209]Jun11loa'!$J$67)/1000</f>
        <v>16914.513</v>
      </c>
      <c r="AK315" s="49">
        <f>(+'[209]Jun11loa'!$J$73)/1000</f>
        <v>92923.851</v>
      </c>
      <c r="AL315" s="49">
        <f>(+'[209]Jun11loa'!$J$77)/1000</f>
        <v>6845.654</v>
      </c>
      <c r="AM315" s="14">
        <f t="shared" si="29"/>
        <v>253372.934</v>
      </c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8"/>
      <c r="ED315" s="18"/>
      <c r="EE315" s="18"/>
      <c r="EF315" s="18"/>
      <c r="EG315" s="18"/>
      <c r="EH315" s="18"/>
      <c r="EI315" s="18"/>
      <c r="EJ315" s="18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</row>
    <row r="316" spans="1:159" s="19" customFormat="1" ht="15">
      <c r="A316" s="22">
        <v>40755</v>
      </c>
      <c r="B316" s="49">
        <f t="shared" si="24"/>
        <v>5123.535</v>
      </c>
      <c r="C316" s="13">
        <f>(+'[210]Jul11loa'!$I$10)/1000</f>
        <v>4946.508</v>
      </c>
      <c r="D316" s="13">
        <f>(+'[210]Jul11loa'!$I$19)/1000</f>
        <v>146.057</v>
      </c>
      <c r="E316" s="13">
        <f>(+'[210]Jul11loa'!$I$23)/1000</f>
        <v>30.97</v>
      </c>
      <c r="F316" s="49">
        <f>(+'[210]Jul11loa'!$J$25)/1000</f>
        <v>514.461</v>
      </c>
      <c r="G316" s="49">
        <f t="shared" si="25"/>
        <v>7187.884</v>
      </c>
      <c r="H316" s="13">
        <f>(+'[210]Jul11loa'!$I$30)/1000</f>
        <v>186.111</v>
      </c>
      <c r="I316" s="13">
        <f>(+'[210]Jul11loa'!$I$31+'[210]Jul11loa'!$I$32)/1000</f>
        <v>1799.354</v>
      </c>
      <c r="J316" s="13">
        <f>(+'[210]Jul11loa'!$I$33)/1000</f>
        <v>112.37</v>
      </c>
      <c r="K316" s="13">
        <f>(+'[210]Jul11loa'!$I$34)/1000</f>
        <v>153.879</v>
      </c>
      <c r="L316" s="13">
        <f>(+'[210]Jul11loa'!$I$35)/1000</f>
        <v>638.462</v>
      </c>
      <c r="M316" s="13">
        <f>(+'[210]Jul11loa'!$I$36)/1000</f>
        <v>222.816</v>
      </c>
      <c r="N316" s="13">
        <f>(+'[210]Jul11loa'!$I$37)/1000</f>
        <v>906.065</v>
      </c>
      <c r="O316" s="13">
        <f>(+'[210]Jul11loa'!$I$38)/1000</f>
        <v>305.408</v>
      </c>
      <c r="P316" s="13">
        <f>(+'[210]Jul11loa'!$I$39)/1000</f>
        <v>2863.419</v>
      </c>
      <c r="Q316" s="49">
        <f t="shared" si="26"/>
        <v>20338.589999999997</v>
      </c>
      <c r="R316" s="13">
        <f>(+'[210]Jul11loa'!$I$42)/1000</f>
        <v>19705.6</v>
      </c>
      <c r="S316" s="13">
        <f>(+'[210]Jul11loa'!$I$43)/1000</f>
        <v>425.495</v>
      </c>
      <c r="T316" s="13">
        <f>(+'[210]Jul11loa'!$I$44)/1000</f>
        <v>207.495</v>
      </c>
      <c r="U316" s="49">
        <f>(+'[210]Jul11loa'!$J$46)/1000</f>
        <v>1135.903</v>
      </c>
      <c r="V316" s="49">
        <f t="shared" si="27"/>
        <v>9085.85</v>
      </c>
      <c r="W316" s="13">
        <f>(+'[210]Jul11loa'!$I$49)/1000</f>
        <v>4490.248</v>
      </c>
      <c r="X316" s="13">
        <f>(+'[210]Jul11loa'!$I$50)/1000</f>
        <v>554.556</v>
      </c>
      <c r="Y316" s="13">
        <f>(+'[210]Jul11loa'!$I$51)/1000</f>
        <v>4041.046</v>
      </c>
      <c r="Z316" s="49">
        <f>(+'[210]Jul11loa'!$J$53)/1000</f>
        <v>5456.972</v>
      </c>
      <c r="AA316" s="49">
        <f t="shared" si="28"/>
        <v>29742.778</v>
      </c>
      <c r="AB316" s="13">
        <f>(+'[210]Jul11loa'!$I$56)/1000</f>
        <v>10542.963</v>
      </c>
      <c r="AC316" s="13">
        <f>(+'[210]Jul11loa'!$I$57)/1000</f>
        <v>0.033</v>
      </c>
      <c r="AD316" s="13">
        <f>(+'[210]Jul11loa'!$I$58)/1000</f>
        <v>15364.382</v>
      </c>
      <c r="AE316" s="13">
        <f>(+'[210]Jul11loa'!$I$59)/1000</f>
        <v>3835.4</v>
      </c>
      <c r="AF316" s="49">
        <f>(+'[210]Jul11loa'!$J$61)/1000</f>
        <v>27319.742</v>
      </c>
      <c r="AG316" s="49">
        <v>0</v>
      </c>
      <c r="AH316" s="49">
        <f>(+'[210]Jul11loa'!$J$63)/1000</f>
        <v>30965.877</v>
      </c>
      <c r="AI316" s="49">
        <f>(+'[210]Jul11loa'!$J$65)/1000</f>
        <v>413.566</v>
      </c>
      <c r="AJ316" s="49">
        <f>(+'[210]Jul11loa'!$J$67)/1000</f>
        <v>16552.208</v>
      </c>
      <c r="AK316" s="49">
        <f>(+'[210]Jul11loa'!$J$73)/1000</f>
        <v>93992.355</v>
      </c>
      <c r="AL316" s="49">
        <f>(+'[210]Jul11loa'!$J$77)/1000</f>
        <v>7458.909</v>
      </c>
      <c r="AM316" s="14">
        <f t="shared" si="29"/>
        <v>255288.62999999995</v>
      </c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8"/>
      <c r="ED316" s="18"/>
      <c r="EE316" s="18"/>
      <c r="EF316" s="18"/>
      <c r="EG316" s="18"/>
      <c r="EH316" s="18"/>
      <c r="EI316" s="18"/>
      <c r="EJ316" s="18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</row>
    <row r="317" spans="1:159" s="19" customFormat="1" ht="15">
      <c r="A317" s="22">
        <v>40786</v>
      </c>
      <c r="B317" s="49">
        <f t="shared" si="24"/>
        <v>5059.609</v>
      </c>
      <c r="C317" s="13">
        <f>(+'[19]Aug11loa'!$I$10)/1000</f>
        <v>4876.064</v>
      </c>
      <c r="D317" s="13">
        <f>(+'[19]Aug11loa'!$I$19)/1000</f>
        <v>153.186</v>
      </c>
      <c r="E317" s="13">
        <f>(+'[19]Aug11loa'!$I$23)/1000</f>
        <v>30.359</v>
      </c>
      <c r="F317" s="49">
        <f>(+'[19]Aug11loa'!$J$25)/1000</f>
        <v>538.087</v>
      </c>
      <c r="G317" s="49">
        <f t="shared" si="25"/>
        <v>7413.481</v>
      </c>
      <c r="H317" s="13">
        <f>(+'[19]Aug11loa'!$I$30)/1000</f>
        <v>200.145</v>
      </c>
      <c r="I317" s="13">
        <f>(+'[19]Aug11loa'!$I$31+'[19]Aug11loa'!$I$32)/1000</f>
        <v>1777.361</v>
      </c>
      <c r="J317" s="13">
        <f>(+'[19]Aug11loa'!$I$33)/1000</f>
        <v>108.83</v>
      </c>
      <c r="K317" s="13">
        <f>(+'[19]Aug11loa'!$I$34)/1000</f>
        <v>142.905</v>
      </c>
      <c r="L317" s="13">
        <f>(+'[19]Aug11loa'!$I$35)/1000</f>
        <v>637.35</v>
      </c>
      <c r="M317" s="13">
        <f>(+'[19]Aug11loa'!$I$36)/1000</f>
        <v>219</v>
      </c>
      <c r="N317" s="13">
        <f>(+'[19]Aug11loa'!$I$37)/1000</f>
        <v>909.841</v>
      </c>
      <c r="O317" s="13">
        <f>(+'[19]Aug11loa'!$I$38)/1000</f>
        <v>316.645</v>
      </c>
      <c r="P317" s="13">
        <f>(+'[19]Aug11loa'!$I$39)/1000</f>
        <v>3101.404</v>
      </c>
      <c r="Q317" s="49">
        <f t="shared" si="26"/>
        <v>20463.732</v>
      </c>
      <c r="R317" s="13">
        <f>(+'[19]Aug11loa'!$I$42)/1000</f>
        <v>19868.889</v>
      </c>
      <c r="S317" s="13">
        <f>(+'[19]Aug11loa'!$I$43)/1000</f>
        <v>394.202</v>
      </c>
      <c r="T317" s="13">
        <f>(+'[19]Aug11loa'!$I$44)/1000</f>
        <v>200.641</v>
      </c>
      <c r="U317" s="49">
        <f>(+'[19]Aug11loa'!$J$46)/1000</f>
        <v>1132.191</v>
      </c>
      <c r="V317" s="49">
        <f t="shared" si="27"/>
        <v>8739.171</v>
      </c>
      <c r="W317" s="13">
        <f>(+'[19]Aug11loa'!$I$49)/1000</f>
        <v>4414.291</v>
      </c>
      <c r="X317" s="13">
        <f>(+'[19]Aug11loa'!$I$50)/1000</f>
        <v>543.321</v>
      </c>
      <c r="Y317" s="13">
        <f>(+'[19]Aug11loa'!$I$51)/1000</f>
        <v>3781.559</v>
      </c>
      <c r="Z317" s="49">
        <f>(+'[19]Aug11loa'!$J$53)/1000</f>
        <v>5477.267</v>
      </c>
      <c r="AA317" s="49">
        <f t="shared" si="28"/>
        <v>26253.363999999998</v>
      </c>
      <c r="AB317" s="13">
        <f>(+'[19]Aug11loa'!$I$56)/1000</f>
        <v>10421.486</v>
      </c>
      <c r="AC317" s="13">
        <f>(+'[19]Aug11loa'!$I$57)/1000</f>
        <v>0.033</v>
      </c>
      <c r="AD317" s="13">
        <f>(+'[19]Aug11loa'!$I$58)/1000</f>
        <v>14898.757</v>
      </c>
      <c r="AE317" s="13">
        <f>(+'[19]Aug11loa'!$I$59)/1000</f>
        <v>933.088</v>
      </c>
      <c r="AF317" s="49">
        <f>(+'[19]Aug11loa'!$J$61)/1000</f>
        <v>27139.477</v>
      </c>
      <c r="AG317" s="49">
        <v>0</v>
      </c>
      <c r="AH317" s="49">
        <f>(+'[19]Aug11loa'!$J$63)/1000</f>
        <v>30995.299</v>
      </c>
      <c r="AI317" s="49">
        <f>(+'[19]Aug11loa'!$J$65)/1000</f>
        <v>444.998</v>
      </c>
      <c r="AJ317" s="49">
        <f>(+'[19]Aug11loa'!$J$67)/1000</f>
        <v>16150.423</v>
      </c>
      <c r="AK317" s="49">
        <f>(+'[19]Aug11loa'!$J$73)/1000</f>
        <v>95527.116</v>
      </c>
      <c r="AL317" s="49">
        <f>(+'[19]Aug11loa'!$J$77)/1000</f>
        <v>7446.841</v>
      </c>
      <c r="AM317" s="14">
        <f t="shared" si="29"/>
        <v>252781.05600000004</v>
      </c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8"/>
      <c r="ED317" s="18"/>
      <c r="EE317" s="18"/>
      <c r="EF317" s="18"/>
      <c r="EG317" s="18"/>
      <c r="EH317" s="18"/>
      <c r="EI317" s="18"/>
      <c r="EJ317" s="18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</row>
    <row r="318" spans="1:159" s="19" customFormat="1" ht="15">
      <c r="A318" s="22">
        <v>40816</v>
      </c>
      <c r="B318" s="49">
        <f t="shared" si="24"/>
        <v>4909.902</v>
      </c>
      <c r="C318" s="13">
        <f>(+'[20]Sep11loa'!$I$10)/1000</f>
        <v>4145.64</v>
      </c>
      <c r="D318" s="13">
        <f>(+'[20]Sep11loa'!$I$19)/1000</f>
        <v>734.431</v>
      </c>
      <c r="E318" s="13">
        <f>(+'[20]Sep11loa'!$I$23)/1000</f>
        <v>29.831</v>
      </c>
      <c r="F318" s="49">
        <f>(+'[20]Sep11loa'!$J$25)/1000</f>
        <v>493.535</v>
      </c>
      <c r="G318" s="49">
        <f t="shared" si="25"/>
        <v>7792.702</v>
      </c>
      <c r="H318" s="13">
        <f>(+'[20]Sep11loa'!$I$30)/1000</f>
        <v>177.229</v>
      </c>
      <c r="I318" s="13">
        <f>(+'[20]Sep11loa'!$I$31+'[20]Sep11loa'!$I$32)/1000</f>
        <v>1955.543</v>
      </c>
      <c r="J318" s="13">
        <f>(+'[20]Sep11loa'!$I$33)/1000</f>
        <v>124.204</v>
      </c>
      <c r="K318" s="13">
        <f>(+'[20]Sep11loa'!$I$34)/1000</f>
        <v>142.723</v>
      </c>
      <c r="L318" s="13">
        <f>(+'[20]Sep11loa'!$I$35)/1000</f>
        <v>658.013</v>
      </c>
      <c r="M318" s="13">
        <f>(+'[20]Sep11loa'!$I$36)/1000</f>
        <v>214.465</v>
      </c>
      <c r="N318" s="13">
        <f>(+'[20]Sep11loa'!$I$37)/1000</f>
        <v>1087.097</v>
      </c>
      <c r="O318" s="13">
        <f>(+'[20]Sep11loa'!$I$38)/1000</f>
        <v>437.799</v>
      </c>
      <c r="P318" s="13">
        <f>(+'[20]Sep11loa'!$I$39)/1000</f>
        <v>2995.629</v>
      </c>
      <c r="Q318" s="49">
        <f t="shared" si="26"/>
        <v>19815.891999999996</v>
      </c>
      <c r="R318" s="13">
        <f>(+'[20]Sep11loa'!$I$42)/1000</f>
        <v>19032.259</v>
      </c>
      <c r="S318" s="13">
        <f>(+'[20]Sep11loa'!$I$43)/1000</f>
        <v>604.248</v>
      </c>
      <c r="T318" s="13">
        <f>(+'[20]Sep11loa'!$I$44)/1000</f>
        <v>179.385</v>
      </c>
      <c r="U318" s="49">
        <f>(+'[20]Sep11loa'!$J$46)/1000</f>
        <v>1293.938</v>
      </c>
      <c r="V318" s="49">
        <f t="shared" si="27"/>
        <v>9095.815999999999</v>
      </c>
      <c r="W318" s="13">
        <f>(+'[20]Sep11loa'!$I$49)/1000</f>
        <v>4347.105</v>
      </c>
      <c r="X318" s="13">
        <f>(+'[20]Sep11loa'!$I$50)/1000</f>
        <v>537.684</v>
      </c>
      <c r="Y318" s="13">
        <f>(+'[20]Sep11loa'!$I$51)/1000</f>
        <v>4211.027</v>
      </c>
      <c r="Z318" s="49">
        <f>(+'[20]Sep11loa'!$J$53)/1000</f>
        <v>5671.676</v>
      </c>
      <c r="AA318" s="49">
        <f t="shared" si="28"/>
        <v>24785.877</v>
      </c>
      <c r="AB318" s="13">
        <f>(+'[20]Sep11loa'!$I$56)/1000</f>
        <v>10136.763</v>
      </c>
      <c r="AC318" s="13">
        <f>(+'[20]Sep11loa'!$I$57)/1000</f>
        <v>0.359</v>
      </c>
      <c r="AD318" s="13">
        <f>(+'[20]Sep11loa'!$I$58)/1000</f>
        <v>13790.367</v>
      </c>
      <c r="AE318" s="13">
        <f>(+'[20]Sep11loa'!$I$59)/1000</f>
        <v>858.388</v>
      </c>
      <c r="AF318" s="49">
        <f>(+'[20]Sep11loa'!$J$61)/1000</f>
        <v>26955.291</v>
      </c>
      <c r="AG318" s="49">
        <v>0</v>
      </c>
      <c r="AH318" s="49">
        <f>(+'[20]Sep11loa'!$J$63)/1000</f>
        <v>31497.311</v>
      </c>
      <c r="AI318" s="49">
        <f>(+'[20]Sep11loa'!$J$65)/1000</f>
        <v>483.844</v>
      </c>
      <c r="AJ318" s="49">
        <f>(+'[20]Sep11loa'!$J$67)/1000</f>
        <v>16201.827</v>
      </c>
      <c r="AK318" s="49">
        <f>(+'[20]Sep11loa'!$J$73)/1000</f>
        <v>97236.936</v>
      </c>
      <c r="AL318" s="49">
        <f>(+'[20]Sep11loa'!$J$77)/1000</f>
        <v>7448.549</v>
      </c>
      <c r="AM318" s="14">
        <f t="shared" si="29"/>
        <v>253683.09600000002</v>
      </c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8"/>
      <c r="ED318" s="18"/>
      <c r="EE318" s="18"/>
      <c r="EF318" s="18"/>
      <c r="EG318" s="18"/>
      <c r="EH318" s="18"/>
      <c r="EI318" s="18"/>
      <c r="EJ318" s="18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</row>
    <row r="319" spans="1:159" s="19" customFormat="1" ht="15">
      <c r="A319" s="22">
        <v>40847</v>
      </c>
      <c r="B319" s="49">
        <f t="shared" si="24"/>
        <v>4737.3369999999995</v>
      </c>
      <c r="C319" s="13">
        <f>(+'[21]Oct11loa'!$I$10)/1000</f>
        <v>3970.481</v>
      </c>
      <c r="D319" s="13">
        <f>(+'[21]Oct11loa'!$I$19)/1000</f>
        <v>737.621</v>
      </c>
      <c r="E319" s="13">
        <f>(+'[21]Oct11loa'!$I$23)/1000</f>
        <v>29.235</v>
      </c>
      <c r="F319" s="49">
        <f>(+'[21]Oct11loa'!$J$25)/1000</f>
        <v>600.304</v>
      </c>
      <c r="G319" s="49">
        <f t="shared" si="25"/>
        <v>8239.266</v>
      </c>
      <c r="H319" s="13">
        <f>(+'[21]Oct11loa'!$I$30)/1000</f>
        <v>189.261</v>
      </c>
      <c r="I319" s="13">
        <f>(+'[21]Oct11loa'!$I$31+'[21]Oct11loa'!$I$32)/1000</f>
        <v>2590.591</v>
      </c>
      <c r="J319" s="13">
        <f>(+'[21]Oct11loa'!$I$33)/1000</f>
        <v>110.537</v>
      </c>
      <c r="K319" s="13">
        <f>(+'[21]Oct11loa'!$I$34)/1000</f>
        <v>152.185</v>
      </c>
      <c r="L319" s="13">
        <f>(+'[21]Oct11loa'!$I$35)/1000</f>
        <v>653.557</v>
      </c>
      <c r="M319" s="13">
        <f>(+'[21]Oct11loa'!$I$36)/1000</f>
        <v>217.661</v>
      </c>
      <c r="N319" s="13">
        <f>(+'[21]Oct11loa'!$I$37)/1000</f>
        <v>1027.707</v>
      </c>
      <c r="O319" s="13">
        <f>(+'[21]Oct11loa'!$I$38)/1000</f>
        <v>372.819</v>
      </c>
      <c r="P319" s="13">
        <f>(+'[21]Oct11loa'!$I$39)/1000</f>
        <v>2924.948</v>
      </c>
      <c r="Q319" s="49">
        <f t="shared" si="26"/>
        <v>19859.161</v>
      </c>
      <c r="R319" s="13">
        <f>(+'[21]Oct11loa'!$I$42)/1000</f>
        <v>19068.598</v>
      </c>
      <c r="S319" s="13">
        <f>(+'[21]Oct11loa'!$I$43)/1000</f>
        <v>617.404</v>
      </c>
      <c r="T319" s="13">
        <f>(+'[21]Oct11loa'!$I$44)/1000</f>
        <v>173.159</v>
      </c>
      <c r="U319" s="49">
        <f>(+'[21]Oct11loa'!$J$46)/1000</f>
        <v>1126.457</v>
      </c>
      <c r="V319" s="49">
        <f t="shared" si="27"/>
        <v>9020.011999999999</v>
      </c>
      <c r="W319" s="13">
        <f>(+'[21]Oct11loa'!$I$49)/1000</f>
        <v>4332.04</v>
      </c>
      <c r="X319" s="13">
        <f>(+'[21]Oct11loa'!$I$50)/1000</f>
        <v>539.621</v>
      </c>
      <c r="Y319" s="13">
        <f>(+'[21]Oct11loa'!$I$51)/1000</f>
        <v>4148.351</v>
      </c>
      <c r="Z319" s="49">
        <f>(+'[21]Oct11loa'!$J$53)/1000</f>
        <v>5735.935</v>
      </c>
      <c r="AA319" s="49">
        <f t="shared" si="28"/>
        <v>25818.159</v>
      </c>
      <c r="AB319" s="13">
        <f>(+'[21]Oct11loa'!$I$56)/1000</f>
        <v>9974.661</v>
      </c>
      <c r="AC319" s="13">
        <f>(+'[21]Oct11loa'!$I$57)/1000</f>
        <v>0.033</v>
      </c>
      <c r="AD319" s="13">
        <f>(+'[21]Oct11loa'!$I$58)/1000</f>
        <v>14963.134</v>
      </c>
      <c r="AE319" s="13">
        <f>(+'[21]Oct11loa'!$I$59)/1000</f>
        <v>880.331</v>
      </c>
      <c r="AF319" s="49">
        <f>(+'[21]Oct11loa'!$J$61)/1000</f>
        <v>27154.475</v>
      </c>
      <c r="AG319" s="49">
        <v>0</v>
      </c>
      <c r="AH319" s="49">
        <f>(+'[21]Oct11loa'!$J$63)/1000</f>
        <v>31604.894</v>
      </c>
      <c r="AI319" s="49">
        <f>(+'[21]Oct11loa'!$J$65)/1000</f>
        <v>513.272</v>
      </c>
      <c r="AJ319" s="49">
        <f>(+'[21]Oct11loa'!$J$67)/1000</f>
        <v>16012.513</v>
      </c>
      <c r="AK319" s="49">
        <f>(+'[21]Oct11loa'!$J$73)/1000</f>
        <v>98565.948</v>
      </c>
      <c r="AL319" s="49">
        <f>(+'[21]Oct11loa'!$J$77)/1000</f>
        <v>7453.032</v>
      </c>
      <c r="AM319" s="14">
        <f t="shared" si="29"/>
        <v>256440.765</v>
      </c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8"/>
      <c r="ED319" s="18"/>
      <c r="EE319" s="18"/>
      <c r="EF319" s="18"/>
      <c r="EG319" s="18"/>
      <c r="EH319" s="18"/>
      <c r="EI319" s="18"/>
      <c r="EJ319" s="18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</row>
    <row r="320" spans="1:159" s="19" customFormat="1" ht="15">
      <c r="A320" s="22">
        <v>40877</v>
      </c>
      <c r="B320" s="49">
        <f t="shared" si="24"/>
        <v>5060.628999999999</v>
      </c>
      <c r="C320" s="13">
        <f>(+'[22]Nov11loa'!$I$10)/1000</f>
        <v>4274.61</v>
      </c>
      <c r="D320" s="13">
        <f>(+'[22]Nov11loa'!$I$19)/1000</f>
        <v>757.311</v>
      </c>
      <c r="E320" s="13">
        <f>(+'[22]Nov11loa'!$I$23)/1000</f>
        <v>28.708</v>
      </c>
      <c r="F320" s="49">
        <f>(+'[22]Nov11loa'!$J$25)/1000</f>
        <v>515.126</v>
      </c>
      <c r="G320" s="49">
        <f t="shared" si="25"/>
        <v>7780.663999999999</v>
      </c>
      <c r="H320" s="13">
        <f>(+'[22]Nov11loa'!$I$30)/1000</f>
        <v>270.803</v>
      </c>
      <c r="I320" s="13">
        <f>(+'[22]Nov11loa'!$I$31+'[22]Nov11loa'!$I$32)/1000</f>
        <v>1997.493</v>
      </c>
      <c r="J320" s="13">
        <f>(+'[22]Nov11loa'!$I$33)/1000</f>
        <v>113.921</v>
      </c>
      <c r="K320" s="13">
        <f>(+'[22]Nov11loa'!$I$34)/1000</f>
        <v>171.141</v>
      </c>
      <c r="L320" s="13">
        <f>(+'[22]Nov11loa'!$I$35)/1000</f>
        <v>660.787</v>
      </c>
      <c r="M320" s="13">
        <f>(+'[22]Nov11loa'!$I$36)/1000</f>
        <v>228.482</v>
      </c>
      <c r="N320" s="13">
        <f>(+'[22]Nov11loa'!$I$37)/1000</f>
        <v>1007.696</v>
      </c>
      <c r="O320" s="13">
        <f>(+'[22]Nov11loa'!$I$38)/1000</f>
        <v>408.735</v>
      </c>
      <c r="P320" s="13">
        <f>(+'[22]Nov11loa'!$I$39)/1000</f>
        <v>2921.606</v>
      </c>
      <c r="Q320" s="49">
        <f t="shared" si="26"/>
        <v>19833.933</v>
      </c>
      <c r="R320" s="13">
        <f>(+'[22]Nov11loa'!$I$42)/1000</f>
        <v>19063.788</v>
      </c>
      <c r="S320" s="13">
        <f>(+'[22]Nov11loa'!$I$43)/1000</f>
        <v>616.628</v>
      </c>
      <c r="T320" s="13">
        <f>(+'[22]Nov11loa'!$I$44)/1000</f>
        <v>153.517</v>
      </c>
      <c r="U320" s="49">
        <f>(+'[22]Nov11loa'!$J$46)/1000</f>
        <v>1193.297</v>
      </c>
      <c r="V320" s="49">
        <f t="shared" si="27"/>
        <v>8898.192</v>
      </c>
      <c r="W320" s="13">
        <f>(+'[22]Nov11loa'!$I$49)/1000</f>
        <v>4531.97</v>
      </c>
      <c r="X320" s="13">
        <f>(+'[22]Nov11loa'!$I$50)/1000</f>
        <v>529.173</v>
      </c>
      <c r="Y320" s="13">
        <f>(+'[22]Nov11loa'!$I$51)/1000</f>
        <v>3837.049</v>
      </c>
      <c r="Z320" s="49">
        <f>(+'[22]Nov11loa'!$J$53)/1000</f>
        <v>5655.165</v>
      </c>
      <c r="AA320" s="49">
        <f t="shared" si="28"/>
        <v>24024.646999999997</v>
      </c>
      <c r="AB320" s="13">
        <f>(+'[22]Nov11loa'!$I$56)/1000</f>
        <v>10000.232</v>
      </c>
      <c r="AC320" s="13">
        <f>(+'[22]Nov11loa'!$I$57)/1000</f>
        <v>0.033</v>
      </c>
      <c r="AD320" s="13">
        <f>(+'[22]Nov11loa'!$I$58)/1000</f>
        <v>13106.649</v>
      </c>
      <c r="AE320" s="13">
        <f>(+'[22]Nov11loa'!$I$59)/1000</f>
        <v>917.733</v>
      </c>
      <c r="AF320" s="49">
        <f>(+'[22]Nov11loa'!$J$61)/1000</f>
        <v>28495.097</v>
      </c>
      <c r="AG320" s="49">
        <v>0</v>
      </c>
      <c r="AH320" s="49">
        <f>(+'[22]Nov11loa'!$J$63)/1000</f>
        <v>31799.716</v>
      </c>
      <c r="AI320" s="49">
        <f>(+'[22]Nov11loa'!$J$65)/1000</f>
        <v>501.756</v>
      </c>
      <c r="AJ320" s="49">
        <f>(+'[22]Nov11loa'!$J$67)/1000</f>
        <v>16543.615</v>
      </c>
      <c r="AK320" s="49">
        <f>(+'[22]Nov11loa'!$J$73)/1000</f>
        <v>100336.17</v>
      </c>
      <c r="AL320" s="49">
        <f>(+'[22]Nov11loa'!$J$77)/1000</f>
        <v>7448.593</v>
      </c>
      <c r="AM320" s="14">
        <f t="shared" si="29"/>
        <v>258086.59999999998</v>
      </c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8"/>
      <c r="ED320" s="18"/>
      <c r="EE320" s="18"/>
      <c r="EF320" s="18"/>
      <c r="EG320" s="18"/>
      <c r="EH320" s="18"/>
      <c r="EI320" s="18"/>
      <c r="EJ320" s="18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</row>
    <row r="321" spans="1:159" s="19" customFormat="1" ht="15">
      <c r="A321" s="22">
        <v>40908</v>
      </c>
      <c r="B321" s="49">
        <f t="shared" si="24"/>
        <v>5366.124</v>
      </c>
      <c r="C321" s="13">
        <f>(+'[23]Dec11loa'!$I$10)/1000</f>
        <v>4847.285</v>
      </c>
      <c r="D321" s="13">
        <f>(+'[23]Dec11loa'!$I$19)/1000</f>
        <v>490.659</v>
      </c>
      <c r="E321" s="13">
        <f>(+'[23]Dec11loa'!$I$23)/1000</f>
        <v>28.18</v>
      </c>
      <c r="F321" s="49">
        <f>(+'[23]Dec11loa'!$J$25)/1000</f>
        <v>595.074</v>
      </c>
      <c r="G321" s="49">
        <f t="shared" si="25"/>
        <v>7771.294000000001</v>
      </c>
      <c r="H321" s="13">
        <f>(+'[23]Dec11loa'!$I$30)/1000</f>
        <v>233.324</v>
      </c>
      <c r="I321" s="13">
        <f>(+'[23]Dec11loa'!$I$31+'[23]Dec11loa'!$I$32)/1000</f>
        <v>1954.979</v>
      </c>
      <c r="J321" s="13">
        <f>(+'[23]Dec11loa'!$I$33)/1000</f>
        <v>116.819</v>
      </c>
      <c r="K321" s="13">
        <f>(+'[23]Dec11loa'!$I$34)/1000</f>
        <v>166.996</v>
      </c>
      <c r="L321" s="13">
        <f>(+'[23]Dec11loa'!$I$35)/1000</f>
        <v>647.682</v>
      </c>
      <c r="M321" s="13">
        <f>(+'[23]Dec11loa'!$I$36)/1000</f>
        <v>237.634</v>
      </c>
      <c r="N321" s="13">
        <f>(+'[23]Dec11loa'!$I$37)/1000</f>
        <v>981.037</v>
      </c>
      <c r="O321" s="13">
        <f>(+'[23]Dec11loa'!$I$38)/1000</f>
        <v>374.787</v>
      </c>
      <c r="P321" s="13">
        <f>(+'[23]Dec11loa'!$I$39)/1000</f>
        <v>3058.036</v>
      </c>
      <c r="Q321" s="49">
        <f t="shared" si="26"/>
        <v>18487.912</v>
      </c>
      <c r="R321" s="13">
        <f>(+'[23]Dec11loa'!$I$42)/1000</f>
        <v>17734.419</v>
      </c>
      <c r="S321" s="13">
        <f>(+'[23]Dec11loa'!$I$43)/1000</f>
        <v>596.68</v>
      </c>
      <c r="T321" s="13">
        <f>(+'[23]Dec11loa'!$I$44)/1000</f>
        <v>156.813</v>
      </c>
      <c r="U321" s="49">
        <f>(+'[23]Dec11loa'!$J$46)/1000</f>
        <v>1677.375</v>
      </c>
      <c r="V321" s="49">
        <f t="shared" si="27"/>
        <v>11911.589</v>
      </c>
      <c r="W321" s="13">
        <f>(+'[23]Dec11loa'!$I$49)/1000</f>
        <v>4626.836</v>
      </c>
      <c r="X321" s="13">
        <f>(+'[23]Dec11loa'!$I$50)/1000</f>
        <v>526.054</v>
      </c>
      <c r="Y321" s="13">
        <f>(+'[23]Dec11loa'!$I$51)/1000</f>
        <v>6758.699</v>
      </c>
      <c r="Z321" s="49">
        <f>(+'[23]Dec11loa'!$J$53)/1000</f>
        <v>5733.524</v>
      </c>
      <c r="AA321" s="49">
        <f t="shared" si="28"/>
        <v>22837.320000000003</v>
      </c>
      <c r="AB321" s="13">
        <f>(+'[23]Dec11loa'!$I$56)/1000</f>
        <v>9793.679</v>
      </c>
      <c r="AC321" s="13">
        <f>(+'[23]Dec11loa'!$I$57)/1000</f>
        <v>0.039</v>
      </c>
      <c r="AD321" s="13">
        <f>(+'[23]Dec11loa'!$I$58)/1000</f>
        <v>12189.529</v>
      </c>
      <c r="AE321" s="13">
        <f>(+'[23]Dec11loa'!$I$59)/1000</f>
        <v>854.073</v>
      </c>
      <c r="AF321" s="49">
        <f>(+'[23]Dec11loa'!$J$61)/1000</f>
        <v>30477.25</v>
      </c>
      <c r="AG321" s="49">
        <v>0</v>
      </c>
      <c r="AH321" s="49">
        <f>(+'[23]Dec11loa'!$J$63)/1000</f>
        <v>33983.912</v>
      </c>
      <c r="AI321" s="49">
        <f>(+'[23]Dec11loa'!$J$65)/1000</f>
        <v>513.885</v>
      </c>
      <c r="AJ321" s="49">
        <f>(+'[23]Dec11loa'!$J$67)/1000</f>
        <v>17098.846</v>
      </c>
      <c r="AK321" s="49">
        <f>(+'[23]Dec11loa'!$J$73)/1000</f>
        <v>102153.988</v>
      </c>
      <c r="AL321" s="49">
        <f>(+'[23]Dec11loa'!$J$77)/1000</f>
        <v>7436.111</v>
      </c>
      <c r="AM321" s="14">
        <f t="shared" si="29"/>
        <v>266044.20399999997</v>
      </c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8"/>
      <c r="ED321" s="18"/>
      <c r="EE321" s="18"/>
      <c r="EF321" s="18"/>
      <c r="EG321" s="18"/>
      <c r="EH321" s="18"/>
      <c r="EI321" s="18"/>
      <c r="EJ321" s="18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</row>
    <row r="322" spans="1:159" s="19" customFormat="1" ht="15">
      <c r="A322" s="22">
        <v>40939</v>
      </c>
      <c r="B322" s="49">
        <f t="shared" si="24"/>
        <v>5513.285</v>
      </c>
      <c r="C322" s="13">
        <f>(+'[24]Jan12loa'!$I$10)/1000</f>
        <v>4989.813</v>
      </c>
      <c r="D322" s="13">
        <f>(+'[24]Jan12loa'!$I$19)/1000</f>
        <v>496.348</v>
      </c>
      <c r="E322" s="13">
        <f>(+'[24]Jan12loa'!$I$23)/1000</f>
        <v>27.124</v>
      </c>
      <c r="F322" s="49">
        <f>(+'[24]Jan12loa'!$J$25)/1000</f>
        <v>554.751</v>
      </c>
      <c r="G322" s="49">
        <f t="shared" si="25"/>
        <v>7834.949999999999</v>
      </c>
      <c r="H322" s="13">
        <f>(+'[24]Jan12loa'!$I$30)/1000</f>
        <v>194.412</v>
      </c>
      <c r="I322" s="13">
        <f>(+'[24]Jan12loa'!$I$31+'[24]Jan12loa'!$I$32)/1000</f>
        <v>2018.277</v>
      </c>
      <c r="J322" s="13">
        <f>(+'[24]Jan12loa'!$I$33)/1000</f>
        <v>117.892</v>
      </c>
      <c r="K322" s="13">
        <f>(+'[24]Jan12loa'!$I$34)/1000</f>
        <v>162.942</v>
      </c>
      <c r="L322" s="13">
        <f>(+'[24]Jan12loa'!$I$35)/1000</f>
        <v>650.363</v>
      </c>
      <c r="M322" s="13">
        <f>(+'[24]Jan12loa'!$I$36)/1000</f>
        <v>233.426</v>
      </c>
      <c r="N322" s="13">
        <f>(+'[24]Jan12loa'!$I$37)/1000</f>
        <v>945.184</v>
      </c>
      <c r="O322" s="13">
        <f>(+'[24]Jan12loa'!$I$38)/1000</f>
        <v>334.189</v>
      </c>
      <c r="P322" s="13">
        <f>(+'[24]Jan12loa'!$I$39)/1000</f>
        <v>3178.265</v>
      </c>
      <c r="Q322" s="49">
        <f t="shared" si="26"/>
        <v>21295.788</v>
      </c>
      <c r="R322" s="13">
        <f>(+'[24]Jan12loa'!$I$42)/1000</f>
        <v>20534.871</v>
      </c>
      <c r="S322" s="13">
        <f>(+'[24]Jan12loa'!$I$43)/1000</f>
        <v>595.092</v>
      </c>
      <c r="T322" s="13">
        <f>(+'[24]Jan12loa'!$I$44)/1000</f>
        <v>165.825</v>
      </c>
      <c r="U322" s="49">
        <f>(+'[24]Jan12loa'!$J$46)/1000</f>
        <v>1142.043</v>
      </c>
      <c r="V322" s="49">
        <f t="shared" si="27"/>
        <v>11789.086</v>
      </c>
      <c r="W322" s="13">
        <f>(+'[24]Jan12loa'!$I$49)/1000</f>
        <v>4536.008</v>
      </c>
      <c r="X322" s="13">
        <f>(+'[24]Jan12loa'!$I$50)/1000</f>
        <v>518.412</v>
      </c>
      <c r="Y322" s="13">
        <f>(+'[24]Jan12loa'!$I$51)/1000</f>
        <v>6734.666</v>
      </c>
      <c r="Z322" s="49">
        <f>(+'[24]Jan12loa'!$J$53)/1000</f>
        <v>5367.924</v>
      </c>
      <c r="AA322" s="49">
        <f t="shared" si="28"/>
        <v>23678.431999999997</v>
      </c>
      <c r="AB322" s="13">
        <f>(+'[24]Jan12loa'!$I$56)/1000</f>
        <v>9806.846</v>
      </c>
      <c r="AC322" s="13">
        <f>(+'[24]Jan12loa'!$I$57)/1000</f>
        <v>0.039</v>
      </c>
      <c r="AD322" s="13">
        <f>(+'[24]Jan12loa'!$I$58)/1000</f>
        <v>13102.482</v>
      </c>
      <c r="AE322" s="13">
        <f>(+'[24]Jan12loa'!$I$59)/1000</f>
        <v>769.065</v>
      </c>
      <c r="AF322" s="49">
        <f>(+'[24]Jan12loa'!$J$61)/1000</f>
        <v>33084.319</v>
      </c>
      <c r="AG322" s="49">
        <v>0</v>
      </c>
      <c r="AH322" s="49">
        <f>(+'[24]Jan12loa'!$J$63)/1000</f>
        <v>30620.435</v>
      </c>
      <c r="AI322" s="49">
        <f>(+'[24]Jan12loa'!$J$65)/1000</f>
        <v>675.564</v>
      </c>
      <c r="AJ322" s="49">
        <f>(+'[24]Jan12loa'!$J$67)/1000</f>
        <v>16492.678</v>
      </c>
      <c r="AK322" s="49">
        <f>(+'[24]Jan12loa'!$J$73)/1000</f>
        <v>102981.163</v>
      </c>
      <c r="AL322" s="49">
        <f>(+'[24]Jan12loa'!$J$77)/1000</f>
        <v>7447.408</v>
      </c>
      <c r="AM322" s="14">
        <f t="shared" si="29"/>
        <v>268477.826</v>
      </c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8"/>
      <c r="ED322" s="18"/>
      <c r="EE322" s="18"/>
      <c r="EF322" s="18"/>
      <c r="EG322" s="18"/>
      <c r="EH322" s="18"/>
      <c r="EI322" s="18"/>
      <c r="EJ322" s="18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</row>
    <row r="323" spans="1:159" s="19" customFormat="1" ht="15">
      <c r="A323" s="22">
        <v>40968</v>
      </c>
      <c r="B323" s="49">
        <f t="shared" si="24"/>
        <v>6301.351</v>
      </c>
      <c r="C323" s="13">
        <f>(+'[25]Feb12loa'!$I$10)/1000</f>
        <v>5767.188</v>
      </c>
      <c r="D323" s="13">
        <f>(+'[25]Feb12loa'!$I$19)/1000</f>
        <v>507.539</v>
      </c>
      <c r="E323" s="13">
        <f>(+'[25]Feb12loa'!$I$23)/1000</f>
        <v>26.624</v>
      </c>
      <c r="F323" s="49">
        <f>(+'[25]Feb12loa'!$J$25)/1000</f>
        <v>582.073</v>
      </c>
      <c r="G323" s="49">
        <f t="shared" si="25"/>
        <v>7817.082</v>
      </c>
      <c r="H323" s="13">
        <f>(+'[25]Feb12loa'!$I$30)/1000</f>
        <v>177.806</v>
      </c>
      <c r="I323" s="13">
        <f>(+'[25]Feb12loa'!$I$31+'[25]Feb12loa'!$I$32)/1000</f>
        <v>1980.612</v>
      </c>
      <c r="J323" s="13">
        <f>(+'[25]Feb12loa'!$I$33)/1000</f>
        <v>140.328</v>
      </c>
      <c r="K323" s="13">
        <f>(+'[25]Feb12loa'!$I$34)/1000</f>
        <v>164.309</v>
      </c>
      <c r="L323" s="13">
        <f>(+'[25]Feb12loa'!$I$35)/1000</f>
        <v>623.937</v>
      </c>
      <c r="M323" s="13">
        <f>(+'[25]Feb12loa'!$I$36)/1000</f>
        <v>224.931</v>
      </c>
      <c r="N323" s="13">
        <f>(+'[25]Feb12loa'!$I$37)/1000</f>
        <v>937.267</v>
      </c>
      <c r="O323" s="13">
        <f>(+'[25]Feb12loa'!$I$38)/1000</f>
        <v>302.512</v>
      </c>
      <c r="P323" s="13">
        <f>(+'[25]Feb12loa'!$I$39)/1000</f>
        <v>3265.38</v>
      </c>
      <c r="Q323" s="49">
        <f t="shared" si="26"/>
        <v>21327.085</v>
      </c>
      <c r="R323" s="13">
        <f>(+'[25]Feb12loa'!$I$42)/1000</f>
        <v>20594.791</v>
      </c>
      <c r="S323" s="13">
        <f>(+'[25]Feb12loa'!$I$43)/1000</f>
        <v>583.831</v>
      </c>
      <c r="T323" s="13">
        <f>(+'[25]Feb12loa'!$I$44)/1000</f>
        <v>148.463</v>
      </c>
      <c r="U323" s="49">
        <f>(+'[25]Feb12loa'!$J$46)/1000</f>
        <v>1113.409</v>
      </c>
      <c r="V323" s="49">
        <f t="shared" si="27"/>
        <v>12150.932</v>
      </c>
      <c r="W323" s="13">
        <f>(+'[25]Feb12loa'!$I$49)/1000</f>
        <v>4527.295</v>
      </c>
      <c r="X323" s="13">
        <f>(+'[25]Feb12loa'!$I$50)/1000</f>
        <v>507.318</v>
      </c>
      <c r="Y323" s="13">
        <f>(+'[25]Feb12loa'!$I$51)/1000</f>
        <v>7116.319</v>
      </c>
      <c r="Z323" s="49">
        <f>(+'[25]Feb12loa'!$J$53)/1000</f>
        <v>5564.549</v>
      </c>
      <c r="AA323" s="49">
        <f t="shared" si="28"/>
        <v>22886.228</v>
      </c>
      <c r="AB323" s="13">
        <f>(+'[25]Feb12loa'!$I$56)/1000</f>
        <v>9821.354</v>
      </c>
      <c r="AC323" s="13">
        <f>(+'[25]Feb12loa'!$I$57)/1000</f>
        <v>0.752</v>
      </c>
      <c r="AD323" s="13">
        <f>(+'[25]Feb12loa'!$I$58)/1000</f>
        <v>12422.891</v>
      </c>
      <c r="AE323" s="13">
        <f>(+'[25]Feb12loa'!$I$59)/1000</f>
        <v>641.231</v>
      </c>
      <c r="AF323" s="49">
        <f>(+'[25]Feb12loa'!$J$61)/1000</f>
        <v>33696.903</v>
      </c>
      <c r="AG323" s="49">
        <v>0</v>
      </c>
      <c r="AH323" s="49">
        <f>(+'[25]Feb12loa'!$J$63)/1000</f>
        <v>30407.592</v>
      </c>
      <c r="AI323" s="49">
        <f>(+'[25]Feb12loa'!$J$65)/1000</f>
        <v>571.077</v>
      </c>
      <c r="AJ323" s="49">
        <f>(+'[25]Feb12loa'!$J$67)/1000</f>
        <v>16267.8</v>
      </c>
      <c r="AK323" s="49">
        <f>(+'[25]Feb12loa'!$J$73)/1000</f>
        <v>104313.653</v>
      </c>
      <c r="AL323" s="49">
        <f>(+'[25]Feb12loa'!$J$77)/1000</f>
        <v>7430.898</v>
      </c>
      <c r="AM323" s="14">
        <f t="shared" si="29"/>
        <v>270430.632</v>
      </c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8"/>
      <c r="ED323" s="18"/>
      <c r="EE323" s="18"/>
      <c r="EF323" s="18"/>
      <c r="EG323" s="18"/>
      <c r="EH323" s="18"/>
      <c r="EI323" s="18"/>
      <c r="EJ323" s="18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</row>
    <row r="324" spans="1:159" s="19" customFormat="1" ht="15">
      <c r="A324" s="22">
        <v>40999</v>
      </c>
      <c r="B324" s="49">
        <f t="shared" si="24"/>
        <v>6350.1</v>
      </c>
      <c r="C324" s="13">
        <f>(+'[26]Mar12loa'!$I$10)/1000</f>
        <v>5831.3</v>
      </c>
      <c r="D324" s="13">
        <f>(+'[26]Mar12loa'!$I$19)/1000</f>
        <v>492.676</v>
      </c>
      <c r="E324" s="13">
        <f>(+'[26]Mar12loa'!$I$23)/1000</f>
        <v>26.124</v>
      </c>
      <c r="F324" s="49">
        <f>(+'[26]Mar12loa'!$J$25)/1000</f>
        <v>520.802</v>
      </c>
      <c r="G324" s="49">
        <f t="shared" si="25"/>
        <v>8190.335000000001</v>
      </c>
      <c r="H324" s="13">
        <f>(+'[26]Mar12loa'!$I$30)/1000</f>
        <v>160.512</v>
      </c>
      <c r="I324" s="13">
        <f>(+'[26]Mar12loa'!$I$31+'[26]Mar12loa'!$I$32)/1000</f>
        <v>2671.799</v>
      </c>
      <c r="J324" s="13">
        <f>(+'[26]Mar12loa'!$I$33)/1000</f>
        <v>134.703</v>
      </c>
      <c r="K324" s="13">
        <f>(+'[26]Mar12loa'!$I$34)/1000</f>
        <v>167.288</v>
      </c>
      <c r="L324" s="13">
        <f>(+'[26]Mar12loa'!$I$35)/1000</f>
        <v>667.386</v>
      </c>
      <c r="M324" s="13">
        <f>(+'[26]Mar12loa'!$I$36)/1000</f>
        <v>238.764</v>
      </c>
      <c r="N324" s="13">
        <f>(+'[26]Mar12loa'!$I$37)/1000</f>
        <v>915.814</v>
      </c>
      <c r="O324" s="13">
        <f>(+'[26]Mar12loa'!$I$38)/1000</f>
        <v>294.688</v>
      </c>
      <c r="P324" s="13">
        <f>(+'[26]Mar12loa'!$I$39)/1000</f>
        <v>2939.381</v>
      </c>
      <c r="Q324" s="49">
        <f t="shared" si="26"/>
        <v>22587.509</v>
      </c>
      <c r="R324" s="13">
        <f>(+'[26]Mar12loa'!$I$42)/1000</f>
        <v>21318.967</v>
      </c>
      <c r="S324" s="13">
        <f>(+'[26]Mar12loa'!$I$43)/1000</f>
        <v>1119.777</v>
      </c>
      <c r="T324" s="13">
        <f>(+'[26]Mar12loa'!$I$44)/1000</f>
        <v>148.765</v>
      </c>
      <c r="U324" s="49">
        <f>(+'[26]Mar12loa'!$J$46)/1000</f>
        <v>1137.386</v>
      </c>
      <c r="V324" s="49">
        <f t="shared" si="27"/>
        <v>11417.764</v>
      </c>
      <c r="W324" s="13">
        <f>(+'[26]Mar12loa'!$I$49)/1000</f>
        <v>4540.414</v>
      </c>
      <c r="X324" s="13">
        <f>(+'[26]Mar12loa'!$I$50)/1000</f>
        <v>506.573</v>
      </c>
      <c r="Y324" s="13">
        <f>(+'[26]Mar12loa'!$I$51)/1000</f>
        <v>6370.777</v>
      </c>
      <c r="Z324" s="49">
        <f>(+'[26]Mar12loa'!$J$53)/1000</f>
        <v>6359.521</v>
      </c>
      <c r="AA324" s="49">
        <f t="shared" si="28"/>
        <v>25289.028</v>
      </c>
      <c r="AB324" s="13">
        <f>(+'[26]Mar12loa'!$I$56)/1000</f>
        <v>9700.296</v>
      </c>
      <c r="AC324" s="13">
        <f>(+'[26]Mar12loa'!$I$57)/1000</f>
        <v>0.506</v>
      </c>
      <c r="AD324" s="13">
        <f>(+'[26]Mar12loa'!$I$58)/1000</f>
        <v>14984.417</v>
      </c>
      <c r="AE324" s="13">
        <f>(+'[26]Mar12loa'!$I$59)/1000</f>
        <v>603.809</v>
      </c>
      <c r="AF324" s="49">
        <f>(+'[26]Mar12loa'!$J$61)/1000</f>
        <v>35036.771</v>
      </c>
      <c r="AG324" s="49">
        <v>0</v>
      </c>
      <c r="AH324" s="49">
        <f>(+'[26]Mar12loa'!$J$63)/1000</f>
        <v>29827.014</v>
      </c>
      <c r="AI324" s="49">
        <f>(+'[26]Mar12loa'!$J$65)/1000</f>
        <v>574.82</v>
      </c>
      <c r="AJ324" s="49">
        <f>(+'[26]Mar12loa'!$J$67)/1000</f>
        <v>16264.036</v>
      </c>
      <c r="AK324" s="49">
        <f>(+'[26]Mar12loa'!$J$73)/1000</f>
        <v>106433.412</v>
      </c>
      <c r="AL324" s="49">
        <f>(+'[26]Mar12loa'!$J$77)/1000</f>
        <v>7216.422</v>
      </c>
      <c r="AM324" s="14">
        <f t="shared" si="29"/>
        <v>277204.92</v>
      </c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8"/>
      <c r="ED324" s="18"/>
      <c r="EE324" s="18"/>
      <c r="EF324" s="18"/>
      <c r="EG324" s="18"/>
      <c r="EH324" s="18"/>
      <c r="EI324" s="18"/>
      <c r="EJ324" s="18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</row>
    <row r="325" spans="1:159" s="19" customFormat="1" ht="15">
      <c r="A325" s="22">
        <v>41029</v>
      </c>
      <c r="B325" s="49">
        <f t="shared" si="24"/>
        <v>5990.438</v>
      </c>
      <c r="C325" s="13">
        <f>(+'[27]Apr12loa'!$I$10)/1000</f>
        <v>5473.973</v>
      </c>
      <c r="D325" s="13">
        <f>(+'[27]Apr12loa'!$I$19)/1000</f>
        <v>490.841</v>
      </c>
      <c r="E325" s="13">
        <f>(+'[27]Apr12loa'!$I$23)/1000</f>
        <v>25.624</v>
      </c>
      <c r="F325" s="49">
        <f>(+'[27]Apr12loa'!$J$25)/1000</f>
        <v>524.108</v>
      </c>
      <c r="G325" s="49">
        <f t="shared" si="25"/>
        <v>8143.813</v>
      </c>
      <c r="H325" s="13">
        <f>(+'[27]Apr12loa'!$I$30)/1000</f>
        <v>144.175</v>
      </c>
      <c r="I325" s="13">
        <f>(+'[27]Apr12loa'!$I$31+'[27]Apr12loa'!$I$32)/1000</f>
        <v>2652.765</v>
      </c>
      <c r="J325" s="13">
        <f>(+'[27]Apr12loa'!$I$33)/1000</f>
        <v>147.406</v>
      </c>
      <c r="K325" s="13">
        <f>(+'[27]Apr12loa'!$I$34)/1000</f>
        <v>216.061</v>
      </c>
      <c r="L325" s="13">
        <f>(+'[27]Apr12loa'!$I$35)/1000</f>
        <v>635.403</v>
      </c>
      <c r="M325" s="13">
        <f>(+'[27]Apr12loa'!$I$36)/1000</f>
        <v>246.335</v>
      </c>
      <c r="N325" s="13">
        <f>(+'[27]Apr12loa'!$I$37)/1000</f>
        <v>935.216</v>
      </c>
      <c r="O325" s="13">
        <f>(+'[27]Apr12loa'!$I$38)/1000</f>
        <v>279.44</v>
      </c>
      <c r="P325" s="13">
        <f>(+'[27]Apr12loa'!$I$39)/1000</f>
        <v>2887.012</v>
      </c>
      <c r="Q325" s="49">
        <f t="shared" si="26"/>
        <v>22569.571</v>
      </c>
      <c r="R325" s="13">
        <f>(+'[27]Apr12loa'!$I$42)/1000</f>
        <v>21288.898</v>
      </c>
      <c r="S325" s="13">
        <f>(+'[27]Apr12loa'!$I$43)/1000</f>
        <v>1119.927</v>
      </c>
      <c r="T325" s="13">
        <f>(+'[27]Apr12loa'!$I$44)/1000</f>
        <v>160.746</v>
      </c>
      <c r="U325" s="49">
        <f>(+'[27]Apr12loa'!$J$46)/1000</f>
        <v>1194.303</v>
      </c>
      <c r="V325" s="49">
        <f t="shared" si="27"/>
        <v>11494.312</v>
      </c>
      <c r="W325" s="13">
        <f>(+'[27]Apr12loa'!$I$49)/1000</f>
        <v>4586.405</v>
      </c>
      <c r="X325" s="13">
        <f>(+'[27]Apr12loa'!$I$50)/1000</f>
        <v>493.852</v>
      </c>
      <c r="Y325" s="13">
        <f>(+'[27]Apr12loa'!$I$51)/1000</f>
        <v>6414.055</v>
      </c>
      <c r="Z325" s="49">
        <f>(+'[27]Apr12loa'!$J$53)/1000</f>
        <v>6046.916</v>
      </c>
      <c r="AA325" s="49">
        <f t="shared" si="28"/>
        <v>26027.672</v>
      </c>
      <c r="AB325" s="13">
        <f>(+'[27]Apr12loa'!$I$56)/1000</f>
        <v>9535.985</v>
      </c>
      <c r="AC325" s="13">
        <f>(+'[27]Apr12loa'!$I$57)/1000</f>
        <v>0.36</v>
      </c>
      <c r="AD325" s="13">
        <f>(+'[27]Apr12loa'!$I$58)/1000</f>
        <v>15936.602</v>
      </c>
      <c r="AE325" s="13">
        <f>(+'[27]Apr12loa'!$I$59)/1000</f>
        <v>554.725</v>
      </c>
      <c r="AF325" s="49">
        <f>(+'[27]Apr12loa'!$J$61)/1000</f>
        <v>35002.413</v>
      </c>
      <c r="AG325" s="49">
        <v>0</v>
      </c>
      <c r="AH325" s="49">
        <f>(+'[27]Apr12loa'!$J$63)/1000</f>
        <v>28162.169</v>
      </c>
      <c r="AI325" s="49">
        <f>(+'[27]Apr12loa'!$J$65)/1000</f>
        <v>593.761</v>
      </c>
      <c r="AJ325" s="49">
        <f>(+'[27]Apr12loa'!$J$67)/1000</f>
        <v>16287.692</v>
      </c>
      <c r="AK325" s="49">
        <f>(+'[27]Apr12loa'!$J$73)/1000</f>
        <v>108441.913</v>
      </c>
      <c r="AL325" s="49">
        <f>(+'[27]Apr12loa'!$J$77)/1000</f>
        <v>7438.433</v>
      </c>
      <c r="AM325" s="14">
        <f t="shared" si="29"/>
        <v>277917.514</v>
      </c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8"/>
      <c r="ED325" s="18"/>
      <c r="EE325" s="18"/>
      <c r="EF325" s="18"/>
      <c r="EG325" s="18"/>
      <c r="EH325" s="18"/>
      <c r="EI325" s="18"/>
      <c r="EJ325" s="18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</row>
    <row r="326" spans="1:159" s="19" customFormat="1" ht="15">
      <c r="A326" s="22">
        <v>41060</v>
      </c>
      <c r="B326" s="49">
        <f t="shared" si="24"/>
        <v>5886.651</v>
      </c>
      <c r="C326" s="13">
        <f>(+'[28]May12loa'!$I$10)/1000</f>
        <v>5406.429</v>
      </c>
      <c r="D326" s="13">
        <f>(+'[28]May12loa'!$I$19)/1000</f>
        <v>455.098</v>
      </c>
      <c r="E326" s="13">
        <f>(+'[28]May12loa'!$I$23)/1000</f>
        <v>25.124</v>
      </c>
      <c r="F326" s="49">
        <f>(+'[28]May12loa'!$J$25)/1000</f>
        <v>552.605</v>
      </c>
      <c r="G326" s="49">
        <f t="shared" si="25"/>
        <v>8752.018</v>
      </c>
      <c r="H326" s="13">
        <f>(+'[28]May12loa'!$I$30)/1000</f>
        <v>244.464</v>
      </c>
      <c r="I326" s="13">
        <f>(+'[28]May12loa'!$I$31+'[28]May12loa'!$I$32)/1000</f>
        <v>2698.102</v>
      </c>
      <c r="J326" s="13">
        <f>(+'[28]May12loa'!$I$33)/1000</f>
        <v>174.296</v>
      </c>
      <c r="K326" s="13">
        <f>(+'[28]May12loa'!$I$34)/1000</f>
        <v>215.838</v>
      </c>
      <c r="L326" s="13">
        <f>(+'[28]May12loa'!$I$35)/1000</f>
        <v>644.72</v>
      </c>
      <c r="M326" s="13">
        <f>(+'[28]May12loa'!$I$36)/1000</f>
        <v>242.064</v>
      </c>
      <c r="N326" s="13">
        <f>(+'[28]May12loa'!$I$37)/1000</f>
        <v>935.344</v>
      </c>
      <c r="O326" s="13">
        <f>(+'[28]May12loa'!$I$38)/1000</f>
        <v>330.844</v>
      </c>
      <c r="P326" s="13">
        <f>(+'[28]May12loa'!$I$39)/1000</f>
        <v>3266.346</v>
      </c>
      <c r="Q326" s="49">
        <f t="shared" si="26"/>
        <v>22851.935999999998</v>
      </c>
      <c r="R326" s="13">
        <f>(+'[28]May12loa'!$I$42)/1000</f>
        <v>21614.269</v>
      </c>
      <c r="S326" s="13">
        <f>(+'[28]May12loa'!$I$43)/1000</f>
        <v>1080.37</v>
      </c>
      <c r="T326" s="13">
        <f>(+'[28]May12loa'!$I$44)/1000</f>
        <v>157.297</v>
      </c>
      <c r="U326" s="49">
        <f>(+'[28]May12loa'!$J$46)/1000</f>
        <v>1141.081</v>
      </c>
      <c r="V326" s="49">
        <f t="shared" si="27"/>
        <v>11873.411</v>
      </c>
      <c r="W326" s="13">
        <f>(+'[28]May12loa'!$I$49)/1000</f>
        <v>4711.68</v>
      </c>
      <c r="X326" s="13">
        <f>(+'[28]May12loa'!$I$50)/1000</f>
        <v>483.51</v>
      </c>
      <c r="Y326" s="13">
        <f>(+'[28]May12loa'!$I$51)/1000</f>
        <v>6678.221</v>
      </c>
      <c r="Z326" s="49">
        <f>(+'[28]May12loa'!$J$53)/1000</f>
        <v>6005.785</v>
      </c>
      <c r="AA326" s="49">
        <f t="shared" si="28"/>
        <v>26273.451</v>
      </c>
      <c r="AB326" s="13">
        <f>(+'[28]May12loa'!$I$56)/1000</f>
        <v>9572.563</v>
      </c>
      <c r="AC326" s="13">
        <f>(+'[28]May12loa'!$I$57)/1000</f>
        <v>0.213</v>
      </c>
      <c r="AD326" s="13">
        <f>(+'[28]May12loa'!$I$58)/1000</f>
        <v>16147.971</v>
      </c>
      <c r="AE326" s="13">
        <f>(+'[28]May12loa'!$I$59)/1000</f>
        <v>552.704</v>
      </c>
      <c r="AF326" s="49">
        <f>(+'[28]May12loa'!$J$61)/1000</f>
        <v>36511.936</v>
      </c>
      <c r="AG326" s="49">
        <v>0</v>
      </c>
      <c r="AH326" s="49">
        <f>(+'[28]May12loa'!$J$63)/1000</f>
        <v>30400.532</v>
      </c>
      <c r="AI326" s="49">
        <f>(+'[28]May12loa'!$J$65)/1000</f>
        <v>578.23</v>
      </c>
      <c r="AJ326" s="49">
        <f>(+'[28]May12loa'!$J$67)/1000</f>
        <v>16562.825</v>
      </c>
      <c r="AK326" s="49">
        <f>(+'[28]May12loa'!$J$73)/1000</f>
        <v>112041.161</v>
      </c>
      <c r="AL326" s="49">
        <f>(+'[28]May12loa'!$J$77)/1000</f>
        <v>7492.62</v>
      </c>
      <c r="AM326" s="14">
        <f t="shared" si="29"/>
        <v>286924.24199999997</v>
      </c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8"/>
      <c r="ED326" s="18"/>
      <c r="EE326" s="18"/>
      <c r="EF326" s="18"/>
      <c r="EG326" s="18"/>
      <c r="EH326" s="18"/>
      <c r="EI326" s="18"/>
      <c r="EJ326" s="18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</row>
    <row r="327" spans="1:159" s="19" customFormat="1" ht="15">
      <c r="A327" s="22">
        <v>41090</v>
      </c>
      <c r="B327" s="49">
        <f t="shared" si="24"/>
        <v>5424.646</v>
      </c>
      <c r="C327" s="13">
        <f>(+'[29]Jun12loa'!$I$10)/1000</f>
        <v>4943.137</v>
      </c>
      <c r="D327" s="13">
        <f>(+'[29]Jun12loa'!$I$19)/1000</f>
        <v>456.998</v>
      </c>
      <c r="E327" s="13">
        <f>(+'[29]Jun12loa'!$I$23)/1000</f>
        <v>24.511</v>
      </c>
      <c r="F327" s="49">
        <f>(+'[29]Jun12loa'!$J$25)/1000</f>
        <v>500.281</v>
      </c>
      <c r="G327" s="49">
        <f t="shared" si="25"/>
        <v>9405.244999999999</v>
      </c>
      <c r="H327" s="13">
        <f>(+'[29]Jun12loa'!$I$30)/1000</f>
        <v>225.054</v>
      </c>
      <c r="I327" s="13">
        <f>(+'[29]Jun12loa'!$I$31+'[29]Jun12loa'!$I$32)/1000</f>
        <v>3454.662</v>
      </c>
      <c r="J327" s="13">
        <f>(+'[29]Jun12loa'!$I$33)/1000</f>
        <v>156.44</v>
      </c>
      <c r="K327" s="13">
        <f>(+'[29]Jun12loa'!$I$34)/1000</f>
        <v>218.92</v>
      </c>
      <c r="L327" s="13">
        <f>(+'[29]Jun12loa'!$I$35)/1000</f>
        <v>634.294</v>
      </c>
      <c r="M327" s="13">
        <f>(+'[29]Jun12loa'!$I$36)/1000</f>
        <v>236.102</v>
      </c>
      <c r="N327" s="13">
        <f>(+'[29]Jun12loa'!$I$37)/1000</f>
        <v>913.414</v>
      </c>
      <c r="O327" s="13">
        <f>(+'[29]Jun12loa'!$I$38)/1000</f>
        <v>331.317</v>
      </c>
      <c r="P327" s="13">
        <f>(+'[29]Jun12loa'!$I$39)/1000</f>
        <v>3235.042</v>
      </c>
      <c r="Q327" s="49">
        <f t="shared" si="26"/>
        <v>21637.678999999996</v>
      </c>
      <c r="R327" s="13">
        <f>(+'[29]Jun12loa'!$I$42)/1000</f>
        <v>20408.391</v>
      </c>
      <c r="S327" s="13">
        <f>(+'[29]Jun12loa'!$I$43)/1000</f>
        <v>1073.511</v>
      </c>
      <c r="T327" s="13">
        <f>(+'[29]Jun12loa'!$I$44)/1000</f>
        <v>155.777</v>
      </c>
      <c r="U327" s="49">
        <f>(+'[29]Jun12loa'!$J$46)/1000</f>
        <v>1123.773</v>
      </c>
      <c r="V327" s="49">
        <f t="shared" si="27"/>
        <v>11785.411</v>
      </c>
      <c r="W327" s="13">
        <f>(+'[29]Jun12loa'!$I$49)/1000</f>
        <v>4800.24</v>
      </c>
      <c r="X327" s="13">
        <f>(+'[29]Jun12loa'!$I$50)/1000</f>
        <v>481.416</v>
      </c>
      <c r="Y327" s="13">
        <f>(+'[29]Jun12loa'!$I$51)/1000</f>
        <v>6503.755</v>
      </c>
      <c r="Z327" s="49">
        <f>(+'[29]Jun12loa'!$J$53)/1000</f>
        <v>6485.42</v>
      </c>
      <c r="AA327" s="49">
        <f t="shared" si="28"/>
        <v>25490.581000000002</v>
      </c>
      <c r="AB327" s="13">
        <f>(+'[29]Jun12loa'!$I$56)/1000</f>
        <v>9565.456</v>
      </c>
      <c r="AC327" s="13">
        <f>(+'[29]Jun12loa'!$I$57)/1000</f>
        <v>0.058</v>
      </c>
      <c r="AD327" s="13">
        <f>(+'[29]Jun12loa'!$I$58)/1000</f>
        <v>15435.263</v>
      </c>
      <c r="AE327" s="13">
        <f>(+'[29]Jun12loa'!$I$59)/1000</f>
        <v>489.804</v>
      </c>
      <c r="AF327" s="49">
        <f>(+'[29]Jun12loa'!$J$61)/1000</f>
        <v>37410.111</v>
      </c>
      <c r="AG327" s="49">
        <v>0</v>
      </c>
      <c r="AH327" s="49">
        <f>(+'[29]Jun12loa'!$J$63)/1000</f>
        <v>26978.864</v>
      </c>
      <c r="AI327" s="49">
        <f>(+'[29]Jun12loa'!$J$65)/1000</f>
        <v>670.978</v>
      </c>
      <c r="AJ327" s="49">
        <f>(+'[29]Jun12loa'!$J$67)/1000</f>
        <v>17633.629</v>
      </c>
      <c r="AK327" s="49">
        <f>(+'[29]Jun12loa'!$J$73)/1000</f>
        <v>115895.408</v>
      </c>
      <c r="AL327" s="49">
        <f>(+'[29]Jun12loa'!$J$77)/1000</f>
        <v>7486.859</v>
      </c>
      <c r="AM327" s="14">
        <f t="shared" si="29"/>
        <v>287928.885</v>
      </c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8"/>
      <c r="ED327" s="18"/>
      <c r="EE327" s="18"/>
      <c r="EF327" s="18"/>
      <c r="EG327" s="18"/>
      <c r="EH327" s="18"/>
      <c r="EI327" s="18"/>
      <c r="EJ327" s="18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</row>
    <row r="328" spans="1:159" s="19" customFormat="1" ht="15">
      <c r="A328" s="22">
        <v>41121</v>
      </c>
      <c r="B328" s="49">
        <f t="shared" si="24"/>
        <v>5645.732</v>
      </c>
      <c r="C328" s="13">
        <f>(+'[30]Jul12loa'!$I$10)/1000</f>
        <v>4730.878</v>
      </c>
      <c r="D328" s="13">
        <f>(+'[30]Jul12loa'!$I$19)/1000</f>
        <v>890.956</v>
      </c>
      <c r="E328" s="13">
        <f>(+'[30]Jul12loa'!$I$23)/1000</f>
        <v>23.898</v>
      </c>
      <c r="F328" s="49">
        <f>(+'[30]Jul12loa'!$J$25)/1000</f>
        <v>488.108</v>
      </c>
      <c r="G328" s="49">
        <f t="shared" si="25"/>
        <v>10362.001</v>
      </c>
      <c r="H328" s="13">
        <f>(+'[30]Jul12loa'!$I$30)/1000</f>
        <v>474.715</v>
      </c>
      <c r="I328" s="13">
        <f>(+'[30]Jul12loa'!$I$31+'[30]Jul12loa'!$I$32)/1000</f>
        <v>4185.718</v>
      </c>
      <c r="J328" s="13">
        <f>(+'[30]Jul12loa'!$I$33)/1000</f>
        <v>165.765</v>
      </c>
      <c r="K328" s="13">
        <f>(+'[30]Jul12loa'!$I$34)/1000</f>
        <v>208.886</v>
      </c>
      <c r="L328" s="13">
        <f>(+'[30]Jul12loa'!$I$35)/1000</f>
        <v>687.284</v>
      </c>
      <c r="M328" s="13">
        <f>(+'[30]Jul12loa'!$I$36)/1000</f>
        <v>235.022</v>
      </c>
      <c r="N328" s="13">
        <f>(+'[30]Jul12loa'!$I$37)/1000</f>
        <v>905.904</v>
      </c>
      <c r="O328" s="13">
        <f>(+'[30]Jul12loa'!$I$38)/1000</f>
        <v>287.846</v>
      </c>
      <c r="P328" s="13">
        <f>(+'[30]Jul12loa'!$I$39)/1000</f>
        <v>3210.861</v>
      </c>
      <c r="Q328" s="49">
        <f t="shared" si="26"/>
        <v>19855.385000000002</v>
      </c>
      <c r="R328" s="13">
        <f>(+'[30]Jul12loa'!$I$42)/1000</f>
        <v>18623.793</v>
      </c>
      <c r="S328" s="13">
        <f>(+'[30]Jul12loa'!$I$43)/1000</f>
        <v>1090.146</v>
      </c>
      <c r="T328" s="13">
        <f>(+'[30]Jul12loa'!$I$44)/1000</f>
        <v>141.446</v>
      </c>
      <c r="U328" s="49">
        <f>(+'[30]Jul12loa'!$J$46)/1000</f>
        <v>989.201</v>
      </c>
      <c r="V328" s="49">
        <f t="shared" si="27"/>
        <v>11837.484</v>
      </c>
      <c r="W328" s="13">
        <f>(+'[30]Jul12loa'!$I$49)/1000</f>
        <v>4804.692</v>
      </c>
      <c r="X328" s="13">
        <f>(+'[30]Jul12loa'!$I$50)/1000</f>
        <v>476.962</v>
      </c>
      <c r="Y328" s="13">
        <f>(+'[30]Jul12loa'!$I$51)/1000</f>
        <v>6555.83</v>
      </c>
      <c r="Z328" s="49">
        <f>(+'[30]Jul12loa'!$J$53)/1000</f>
        <v>7437.658</v>
      </c>
      <c r="AA328" s="49">
        <f t="shared" si="28"/>
        <v>25216.496</v>
      </c>
      <c r="AB328" s="13">
        <f>(+'[30]Jul12loa'!$I$56)/1000</f>
        <v>9610.147</v>
      </c>
      <c r="AC328" s="13">
        <f>(+'[30]Jul12loa'!$I$57)/1000</f>
        <v>0.063</v>
      </c>
      <c r="AD328" s="13">
        <f>(+'[30]Jul12loa'!$I$58)/1000</f>
        <v>15118.996</v>
      </c>
      <c r="AE328" s="13">
        <f>(+'[30]Jul12loa'!$I$59)/1000</f>
        <v>487.29</v>
      </c>
      <c r="AF328" s="49">
        <f>(+'[30]Jul12loa'!$J$61)/1000</f>
        <v>37556.866</v>
      </c>
      <c r="AG328" s="49">
        <v>0</v>
      </c>
      <c r="AH328" s="49">
        <f>(+'[30]Jul12loa'!$J$63)/1000</f>
        <v>26687.114</v>
      </c>
      <c r="AI328" s="49">
        <f>(+'[30]Jul12loa'!$J$65)/1000</f>
        <v>637.112</v>
      </c>
      <c r="AJ328" s="49">
        <f>(+'[30]Jul12loa'!$J$67)/1000</f>
        <v>18996.538</v>
      </c>
      <c r="AK328" s="49">
        <f>(+'[30]Jul12loa'!$J$73)/1000</f>
        <v>116515.492</v>
      </c>
      <c r="AL328" s="49">
        <f>(+'[30]Jul12loa'!$J$77)/1000</f>
        <v>7666.807</v>
      </c>
      <c r="AM328" s="14">
        <f t="shared" si="29"/>
        <v>289891.994</v>
      </c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8"/>
      <c r="ED328" s="18"/>
      <c r="EE328" s="18"/>
      <c r="EF328" s="18"/>
      <c r="EG328" s="18"/>
      <c r="EH328" s="18"/>
      <c r="EI328" s="18"/>
      <c r="EJ328" s="18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</row>
    <row r="329" spans="1:159" s="19" customFormat="1" ht="15">
      <c r="A329" s="22">
        <v>41152</v>
      </c>
      <c r="B329" s="49">
        <f t="shared" si="24"/>
        <v>6165.491</v>
      </c>
      <c r="C329" s="13">
        <f>(+'[211]Aug12loa'!$I$10)/1000</f>
        <v>5249.098</v>
      </c>
      <c r="D329" s="13">
        <f>(+'[211]Aug12loa'!$I$19)/1000</f>
        <v>892.72</v>
      </c>
      <c r="E329" s="13">
        <f>(+'[211]Aug12loa'!$I$23)/1000</f>
        <v>23.673</v>
      </c>
      <c r="F329" s="49">
        <f>(+'[211]Aug12loa'!$J$25)/1000</f>
        <v>535.566</v>
      </c>
      <c r="G329" s="49">
        <f t="shared" si="25"/>
        <v>9999.328</v>
      </c>
      <c r="H329" s="13">
        <f>(+'[211]Aug12loa'!$I$30)/1000</f>
        <v>491.856</v>
      </c>
      <c r="I329" s="13">
        <f>(+'[211]Aug12loa'!$I$31+'[211]Aug12loa'!$I$32)/1000</f>
        <v>3696.015</v>
      </c>
      <c r="J329" s="13">
        <f>(+'[211]Aug12loa'!$I$33)/1000</f>
        <v>175.864</v>
      </c>
      <c r="K329" s="13">
        <f>(+'[211]Aug12loa'!$I$34)/1000</f>
        <v>215.175</v>
      </c>
      <c r="L329" s="13">
        <f>(+'[211]Aug12loa'!$I$35)/1000</f>
        <v>709.151</v>
      </c>
      <c r="M329" s="13">
        <f>(+'[211]Aug12loa'!$I$36)/1000</f>
        <v>222.753</v>
      </c>
      <c r="N329" s="13">
        <f>(+'[211]Aug12loa'!$I$37)/1000</f>
        <v>907.594</v>
      </c>
      <c r="O329" s="13">
        <f>(+'[211]Aug12loa'!$I$38)/1000</f>
        <v>284.744</v>
      </c>
      <c r="P329" s="13">
        <f>(+'[211]Aug12loa'!$I$39)/1000</f>
        <v>3296.176</v>
      </c>
      <c r="Q329" s="49">
        <f t="shared" si="26"/>
        <v>20473.215</v>
      </c>
      <c r="R329" s="13">
        <f>(+'[211]Aug12loa'!$I$42)/1000</f>
        <v>19245.526</v>
      </c>
      <c r="S329" s="13">
        <f>(+'[211]Aug12loa'!$I$43)/1000</f>
        <v>1088.458</v>
      </c>
      <c r="T329" s="13">
        <f>(+'[211]Aug12loa'!$I$44)/1000</f>
        <v>139.231</v>
      </c>
      <c r="U329" s="49">
        <f>(+'[211]Aug12loa'!$J$46)/1000</f>
        <v>960.193</v>
      </c>
      <c r="V329" s="49">
        <f t="shared" si="27"/>
        <v>11692.223</v>
      </c>
      <c r="W329" s="13">
        <f>(+'[211]Aug12loa'!$I$49)/1000</f>
        <v>4758.233</v>
      </c>
      <c r="X329" s="13">
        <f>(+'[211]Aug12loa'!$I$50)/1000</f>
        <v>476.563</v>
      </c>
      <c r="Y329" s="13">
        <f>(+'[211]Aug12loa'!$I$51)/1000</f>
        <v>6457.427</v>
      </c>
      <c r="Z329" s="49">
        <f>(+'[211]Aug12loa'!$J$53)/1000</f>
        <v>7114.735</v>
      </c>
      <c r="AA329" s="49">
        <f t="shared" si="28"/>
        <v>26101.14</v>
      </c>
      <c r="AB329" s="13">
        <f>(+'[211]Aug12loa'!$I$56)/1000</f>
        <v>9624.911</v>
      </c>
      <c r="AC329" s="13">
        <f>(+'[211]Aug12loa'!$I$57)/1000</f>
        <v>0.061</v>
      </c>
      <c r="AD329" s="13">
        <f>(+'[211]Aug12loa'!$I$58)/1000</f>
        <v>16057.222</v>
      </c>
      <c r="AE329" s="13">
        <f>(+'[211]Aug12loa'!$I$59)/1000</f>
        <v>418.946</v>
      </c>
      <c r="AF329" s="49">
        <f>(+'[211]Aug12loa'!$J$61)/1000</f>
        <v>39019.026</v>
      </c>
      <c r="AG329" s="49">
        <v>0</v>
      </c>
      <c r="AH329" s="49">
        <f>(+'[211]Aug12loa'!$J$63)/1000</f>
        <v>25661.966</v>
      </c>
      <c r="AI329" s="49">
        <f>(+'[211]Aug12loa'!$J$65)/1000</f>
        <v>734.071</v>
      </c>
      <c r="AJ329" s="49">
        <f>(+'[211]Aug12loa'!$J$67)/1000</f>
        <v>18603.74</v>
      </c>
      <c r="AK329" s="49">
        <f>(+'[211]Aug12loa'!$J$73)/1000</f>
        <v>118820.966</v>
      </c>
      <c r="AL329" s="49">
        <f>(+'[211]Aug12loa'!$J$77)/1000</f>
        <v>9039.258</v>
      </c>
      <c r="AM329" s="14">
        <f t="shared" si="29"/>
        <v>294920.91799999995</v>
      </c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8"/>
      <c r="ED329" s="18"/>
      <c r="EE329" s="18"/>
      <c r="EF329" s="18"/>
      <c r="EG329" s="18"/>
      <c r="EH329" s="18"/>
      <c r="EI329" s="18"/>
      <c r="EJ329" s="18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</row>
    <row r="330" spans="1:159" s="19" customFormat="1" ht="15">
      <c r="A330" s="22">
        <v>41182</v>
      </c>
      <c r="B330" s="49">
        <f t="shared" si="24"/>
        <v>6037.16</v>
      </c>
      <c r="C330" s="13">
        <f>(+'[31]Sep12loa'!$I$10)/1000</f>
        <v>4938.967</v>
      </c>
      <c r="D330" s="13">
        <f>(+'[31]Sep12loa'!$I$19)/1000</f>
        <v>875.295</v>
      </c>
      <c r="E330" s="13">
        <f>(+'[31]Sep12loa'!$I$23)/1000</f>
        <v>222.898</v>
      </c>
      <c r="F330" s="49">
        <f>(+'[31]Sep12loa'!$J$25)/1000</f>
        <v>594.162</v>
      </c>
      <c r="G330" s="49">
        <f t="shared" si="25"/>
        <v>10343.849999999999</v>
      </c>
      <c r="H330" s="13">
        <f>(+'[31]Sep12loa'!$I$30)/1000</f>
        <v>314.511</v>
      </c>
      <c r="I330" s="13">
        <f>(+'[31]Sep12loa'!$I$31+'[31]Sep12loa'!$I$32)/1000</f>
        <v>4508.655</v>
      </c>
      <c r="J330" s="13">
        <f>(+'[31]Sep12loa'!$I$33)/1000</f>
        <v>178.931</v>
      </c>
      <c r="K330" s="13">
        <f>(+'[31]Sep12loa'!$I$34)/1000</f>
        <v>215.325</v>
      </c>
      <c r="L330" s="13">
        <f>(+'[31]Sep12loa'!$I$35)/1000</f>
        <v>703.02</v>
      </c>
      <c r="M330" s="13">
        <f>(+'[31]Sep12loa'!$I$36)/1000</f>
        <v>229.071</v>
      </c>
      <c r="N330" s="13">
        <f>(+'[31]Sep12loa'!$I$37)/1000</f>
        <v>898.262</v>
      </c>
      <c r="O330" s="13">
        <f>(+'[31]Sep12loa'!$I$38)/1000</f>
        <v>876.738</v>
      </c>
      <c r="P330" s="13">
        <f>(+'[31]Sep12loa'!$I$39)/1000</f>
        <v>2419.337</v>
      </c>
      <c r="Q330" s="49">
        <f t="shared" si="26"/>
        <v>21025.973</v>
      </c>
      <c r="R330" s="13">
        <f>(+'[31]Sep12loa'!$I$42)/1000</f>
        <v>19241.992</v>
      </c>
      <c r="S330" s="13">
        <f>(+'[31]Sep12loa'!$I$43)/1000</f>
        <v>1646.365</v>
      </c>
      <c r="T330" s="13">
        <f>(+'[31]Sep12loa'!$I$44)/1000</f>
        <v>137.616</v>
      </c>
      <c r="U330" s="49">
        <f>(+'[31]Sep12loa'!$J$46)/1000</f>
        <v>1014.516</v>
      </c>
      <c r="V330" s="49">
        <f t="shared" si="27"/>
        <v>11618.894</v>
      </c>
      <c r="W330" s="13">
        <f>(+'[31]Sep12loa'!$I$49)/1000</f>
        <v>4782.578</v>
      </c>
      <c r="X330" s="13">
        <f>(+'[31]Sep12loa'!$I$50)/1000</f>
        <v>460.477</v>
      </c>
      <c r="Y330" s="13">
        <f>(+'[31]Sep12loa'!$I$51)/1000</f>
        <v>6375.839</v>
      </c>
      <c r="Z330" s="49">
        <f>(+'[31]Sep12loa'!$J$53)/1000</f>
        <v>7077.116</v>
      </c>
      <c r="AA330" s="49">
        <f t="shared" si="28"/>
        <v>25788.133</v>
      </c>
      <c r="AB330" s="13">
        <f>(+'[31]Sep12loa'!$I$56)/1000</f>
        <v>9501.487</v>
      </c>
      <c r="AC330" s="13">
        <f>(+'[31]Sep12loa'!$I$57)/1000</f>
        <v>0.065</v>
      </c>
      <c r="AD330" s="13">
        <f>(+'[31]Sep12loa'!$I$58)/1000</f>
        <v>15853.221</v>
      </c>
      <c r="AE330" s="13">
        <f>(+'[31]Sep12loa'!$I$59)/1000</f>
        <v>433.36</v>
      </c>
      <c r="AF330" s="49">
        <f>(+'[31]Sep12loa'!$J$61)/1000</f>
        <v>39976.009</v>
      </c>
      <c r="AG330" s="49">
        <v>0</v>
      </c>
      <c r="AH330" s="49">
        <f>(+'[31]Sep12loa'!$J$63)/1000</f>
        <v>25793.71</v>
      </c>
      <c r="AI330" s="49">
        <f>(+'[31]Sep12loa'!$J$65)/1000</f>
        <v>746.656</v>
      </c>
      <c r="AJ330" s="49">
        <f>(+'[31]Sep12loa'!$J$67)/1000</f>
        <v>17952.772</v>
      </c>
      <c r="AK330" s="49">
        <f>(+'[31]Sep12loa'!$J$73)/1000</f>
        <v>121570.833</v>
      </c>
      <c r="AL330" s="49">
        <f>(+'[31]Sep12loa'!$J$77)/1000</f>
        <v>9092.748</v>
      </c>
      <c r="AM330" s="14">
        <f t="shared" si="29"/>
        <v>298632.532</v>
      </c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8"/>
      <c r="ED330" s="18"/>
      <c r="EE330" s="18"/>
      <c r="EF330" s="18"/>
      <c r="EG330" s="18"/>
      <c r="EH330" s="18"/>
      <c r="EI330" s="18"/>
      <c r="EJ330" s="18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</row>
    <row r="331" spans="1:159" s="19" customFormat="1" ht="15">
      <c r="A331" s="22">
        <v>41213</v>
      </c>
      <c r="B331" s="49">
        <f t="shared" si="24"/>
        <v>5942.209</v>
      </c>
      <c r="C331" s="13">
        <f>(+'[32]Oct12loa'!$I$10)/1000</f>
        <v>4927.387</v>
      </c>
      <c r="D331" s="13">
        <f>(+'[32]Oct12loa'!$I$19)/1000</f>
        <v>792.424</v>
      </c>
      <c r="E331" s="13">
        <f>(+'[32]Oct12loa'!$I$23)/1000</f>
        <v>222.398</v>
      </c>
      <c r="F331" s="49">
        <f>(+'[32]Oct12loa'!$J$25)/1000</f>
        <v>663.502</v>
      </c>
      <c r="G331" s="49">
        <f t="shared" si="25"/>
        <v>10774.134999999998</v>
      </c>
      <c r="H331" s="13">
        <f>(+'[32]Oct12loa'!$I$30)/1000</f>
        <v>1097.66</v>
      </c>
      <c r="I331" s="13">
        <f>(+'[32]Oct12loa'!$I$31+'[32]Oct12loa'!$I$32)/1000</f>
        <v>4207.269</v>
      </c>
      <c r="J331" s="13">
        <f>(+'[32]Oct12loa'!$I$33)/1000</f>
        <v>164.034</v>
      </c>
      <c r="K331" s="13">
        <f>(+'[32]Oct12loa'!$I$34)/1000</f>
        <v>217.517</v>
      </c>
      <c r="L331" s="13">
        <f>(+'[32]Oct12loa'!$I$35)/1000</f>
        <v>517.058</v>
      </c>
      <c r="M331" s="13">
        <f>(+'[32]Oct12loa'!$I$36)/1000</f>
        <v>230.359</v>
      </c>
      <c r="N331" s="13">
        <f>(+'[32]Oct12loa'!$I$37)/1000</f>
        <v>901.235</v>
      </c>
      <c r="O331" s="13">
        <f>(+'[32]Oct12loa'!$I$38)/1000</f>
        <v>866.649</v>
      </c>
      <c r="P331" s="13">
        <f>(+'[32]Oct12loa'!$I$39)/1000</f>
        <v>2572.354</v>
      </c>
      <c r="Q331" s="49">
        <f t="shared" si="26"/>
        <v>20809.412</v>
      </c>
      <c r="R331" s="13">
        <f>(+'[32]Oct12loa'!$I$42)/1000</f>
        <v>18995.585</v>
      </c>
      <c r="S331" s="13">
        <f>(+'[32]Oct12loa'!$I$43)/1000</f>
        <v>1677.684</v>
      </c>
      <c r="T331" s="13">
        <f>(+'[32]Oct12loa'!$I$44)/1000</f>
        <v>136.143</v>
      </c>
      <c r="U331" s="49">
        <f>(+'[32]Oct12loa'!$J$46)/1000</f>
        <v>2367.222</v>
      </c>
      <c r="V331" s="49">
        <f t="shared" si="27"/>
        <v>11634.914</v>
      </c>
      <c r="W331" s="13">
        <f>(+'[32]Oct12loa'!$I$49)/1000</f>
        <v>4736.332</v>
      </c>
      <c r="X331" s="13">
        <f>(+'[32]Oct12loa'!$I$50)/1000</f>
        <v>455.601</v>
      </c>
      <c r="Y331" s="13">
        <f>(+'[32]Oct12loa'!$I$51)/1000</f>
        <v>6442.981</v>
      </c>
      <c r="Z331" s="49">
        <f>(+'[32]Oct12loa'!$J$53)/1000</f>
        <v>7368.128</v>
      </c>
      <c r="AA331" s="49">
        <f t="shared" si="28"/>
        <v>27034.485</v>
      </c>
      <c r="AB331" s="13">
        <f>(+'[32]Oct12loa'!$I$56)/1000</f>
        <v>9388.072</v>
      </c>
      <c r="AC331" s="13">
        <f>(+'[32]Oct12loa'!$I$57)/1000</f>
        <v>0.07</v>
      </c>
      <c r="AD331" s="13">
        <f>(+'[32]Oct12loa'!$I$58)/1000</f>
        <v>17162.579</v>
      </c>
      <c r="AE331" s="13">
        <f>(+'[32]Oct12loa'!$I$59)/1000</f>
        <v>483.764</v>
      </c>
      <c r="AF331" s="49">
        <f>(+'[32]Oct12loa'!$J$61)/1000</f>
        <v>40370.091</v>
      </c>
      <c r="AG331" s="49">
        <v>0</v>
      </c>
      <c r="AH331" s="49">
        <f>(+'[32]Oct12loa'!$J$63)/1000</f>
        <v>26258.022</v>
      </c>
      <c r="AI331" s="49">
        <f>(+'[32]Oct12loa'!$J$65)/1000</f>
        <v>754.38</v>
      </c>
      <c r="AJ331" s="49">
        <f>(+'[32]Oct12loa'!$J$67)/1000</f>
        <v>18104.743</v>
      </c>
      <c r="AK331" s="49">
        <f>(+'[32]Oct12loa'!$J$73)/1000</f>
        <v>122413.51</v>
      </c>
      <c r="AL331" s="49">
        <f>(+'[32]Oct12loa'!$J$77)/1000</f>
        <v>10739.041</v>
      </c>
      <c r="AM331" s="14">
        <f t="shared" si="29"/>
        <v>305233.794</v>
      </c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8"/>
      <c r="ED331" s="18"/>
      <c r="EE331" s="18"/>
      <c r="EF331" s="18"/>
      <c r="EG331" s="18"/>
      <c r="EH331" s="18"/>
      <c r="EI331" s="18"/>
      <c r="EJ331" s="18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</row>
    <row r="332" spans="1:159" s="19" customFormat="1" ht="15">
      <c r="A332" s="22">
        <v>41243</v>
      </c>
      <c r="B332" s="49">
        <f t="shared" si="24"/>
        <v>6124.5160000000005</v>
      </c>
      <c r="C332" s="13">
        <f>(+'[33]Nov12loa'!$I$10)/1000</f>
        <v>5099.839</v>
      </c>
      <c r="D332" s="13">
        <f>(+'[33]Nov12loa'!$I$19)/1000</f>
        <v>802.779</v>
      </c>
      <c r="E332" s="13">
        <f>(+'[33]Nov12loa'!$I$23)/1000</f>
        <v>221.898</v>
      </c>
      <c r="F332" s="49">
        <f>(+'[33]Nov12loa'!$J$25)/1000</f>
        <v>635.745</v>
      </c>
      <c r="G332" s="49">
        <f t="shared" si="25"/>
        <v>11459.592999999999</v>
      </c>
      <c r="H332" s="13">
        <f>(+'[33]Nov12loa'!$I$30)/1000</f>
        <v>1981.623</v>
      </c>
      <c r="I332" s="13">
        <f>(+'[33]Nov12loa'!$I$31+'[33]Nov12loa'!$I$32)/1000</f>
        <v>4246.724</v>
      </c>
      <c r="J332" s="13">
        <f>(+'[33]Nov12loa'!$I$33)/1000</f>
        <v>169.192</v>
      </c>
      <c r="K332" s="13">
        <f>(+'[33]Nov12loa'!$I$34)/1000</f>
        <v>204.352</v>
      </c>
      <c r="L332" s="13">
        <f>(+'[33]Nov12loa'!$I$35)/1000</f>
        <v>497.023</v>
      </c>
      <c r="M332" s="13">
        <f>(+'[33]Nov12loa'!$I$36)/1000</f>
        <v>222.995</v>
      </c>
      <c r="N332" s="13">
        <f>(+'[33]Nov12loa'!$I$37)/1000</f>
        <v>887.61</v>
      </c>
      <c r="O332" s="13">
        <f>(+'[33]Nov12loa'!$I$38)/1000</f>
        <v>860.13</v>
      </c>
      <c r="P332" s="13">
        <f>(+'[33]Nov12loa'!$I$39)/1000</f>
        <v>2389.944</v>
      </c>
      <c r="Q332" s="49">
        <f t="shared" si="26"/>
        <v>21085.227</v>
      </c>
      <c r="R332" s="13">
        <f>(+'[33]Nov12loa'!$I$42)/1000</f>
        <v>19282.393</v>
      </c>
      <c r="S332" s="13">
        <f>(+'[33]Nov12loa'!$I$43)/1000</f>
        <v>1668.069</v>
      </c>
      <c r="T332" s="13">
        <f>(+'[33]Nov12loa'!$I$44)/1000</f>
        <v>134.765</v>
      </c>
      <c r="U332" s="49">
        <f>(+'[33]Nov12loa'!$J$46)/1000</f>
        <v>1850.245</v>
      </c>
      <c r="V332" s="49">
        <f t="shared" si="27"/>
        <v>11685.543000000001</v>
      </c>
      <c r="W332" s="13">
        <f>(+'[33]Nov12loa'!$I$49)/1000</f>
        <v>4906.085</v>
      </c>
      <c r="X332" s="13">
        <f>(+'[33]Nov12loa'!$I$50)/1000</f>
        <v>451.479</v>
      </c>
      <c r="Y332" s="13">
        <f>(+'[33]Nov12loa'!$I$51)/1000</f>
        <v>6327.979</v>
      </c>
      <c r="Z332" s="49">
        <f>(+'[33]Nov12loa'!$J$53)/1000</f>
        <v>7864.916</v>
      </c>
      <c r="AA332" s="49">
        <f t="shared" si="28"/>
        <v>25149.050000000003</v>
      </c>
      <c r="AB332" s="13">
        <f>(+'[33]Nov12loa'!$I$56)/1000</f>
        <v>9449.926</v>
      </c>
      <c r="AC332" s="13">
        <f>(+'[33]Nov12loa'!$I$57)/1000</f>
        <v>0.073</v>
      </c>
      <c r="AD332" s="13">
        <f>(+'[33]Nov12loa'!$I$58)/1000</f>
        <v>15209.583</v>
      </c>
      <c r="AE332" s="13">
        <f>(+'[33]Nov12loa'!$I$59)/1000</f>
        <v>489.468</v>
      </c>
      <c r="AF332" s="49">
        <f>(+'[33]Nov12loa'!$J$61)/1000</f>
        <v>40876.821</v>
      </c>
      <c r="AG332" s="49">
        <v>0</v>
      </c>
      <c r="AH332" s="49">
        <f>(+'[33]Nov12loa'!$J$63)/1000</f>
        <v>26337.737</v>
      </c>
      <c r="AI332" s="49">
        <f>(+'[33]Nov12loa'!$J$65)/1000</f>
        <v>737.028</v>
      </c>
      <c r="AJ332" s="49">
        <f>(+'[33]Nov12loa'!$J$67)/1000</f>
        <v>18250.337</v>
      </c>
      <c r="AK332" s="49">
        <f>(+'[33]Nov12loa'!$J$73)/1000</f>
        <v>124811.016</v>
      </c>
      <c r="AL332" s="49">
        <f>(+'[33]Nov12loa'!$J$77)/1000</f>
        <v>13387.069</v>
      </c>
      <c r="AM332" s="14">
        <f t="shared" si="29"/>
        <v>310254.843</v>
      </c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8"/>
      <c r="ED332" s="18"/>
      <c r="EE332" s="18"/>
      <c r="EF332" s="18"/>
      <c r="EG332" s="18"/>
      <c r="EH332" s="18"/>
      <c r="EI332" s="18"/>
      <c r="EJ332" s="18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</row>
    <row r="333" spans="1:159" s="19" customFormat="1" ht="15">
      <c r="A333" s="22">
        <v>41274</v>
      </c>
      <c r="B333" s="49">
        <f aca="true" t="shared" si="30" ref="B333:B396">SUM(C333:E333)</f>
        <v>6138.237000000001</v>
      </c>
      <c r="C333" s="13">
        <f>(+'[34]Dec12loa'!$I$10)/1000</f>
        <v>5138.694</v>
      </c>
      <c r="D333" s="13">
        <f>(+'[34]Dec12loa'!$I$19)/1000</f>
        <v>782.907</v>
      </c>
      <c r="E333" s="13">
        <f>(+'[34]Dec12loa'!$I$23)/1000</f>
        <v>216.636</v>
      </c>
      <c r="F333" s="49">
        <f>(+'[34]Dec12loa'!$J$25)/1000</f>
        <v>692.97</v>
      </c>
      <c r="G333" s="49">
        <f aca="true" t="shared" si="31" ref="G333:G396">SUM(H333:P333)</f>
        <v>12063.051</v>
      </c>
      <c r="H333" s="13">
        <f>(+'[34]Dec12loa'!$I$30)/1000</f>
        <v>1871.64</v>
      </c>
      <c r="I333" s="13">
        <f>(+'[34]Dec12loa'!$I$31+'[34]Dec12loa'!$I$32)/1000</f>
        <v>4333.708</v>
      </c>
      <c r="J333" s="13">
        <f>(+'[34]Dec12loa'!$I$33)/1000</f>
        <v>168.266</v>
      </c>
      <c r="K333" s="13">
        <f>(+'[34]Dec12loa'!$I$34)/1000</f>
        <v>201.571</v>
      </c>
      <c r="L333" s="13">
        <f>(+'[34]Dec12loa'!$I$35)/1000</f>
        <v>474.405</v>
      </c>
      <c r="M333" s="13">
        <f>(+'[34]Dec12loa'!$I$36)/1000</f>
        <v>228.327</v>
      </c>
      <c r="N333" s="13">
        <f>(+'[34]Dec12loa'!$I$37)/1000</f>
        <v>884.134</v>
      </c>
      <c r="O333" s="13">
        <f>(+'[34]Dec12loa'!$I$38)/1000</f>
        <v>819.764</v>
      </c>
      <c r="P333" s="13">
        <f>(+'[34]Dec12loa'!$I$39)/1000</f>
        <v>3081.236</v>
      </c>
      <c r="Q333" s="49">
        <f aca="true" t="shared" si="32" ref="Q333:Q396">SUM(R333:T333)</f>
        <v>21115.449</v>
      </c>
      <c r="R333" s="13">
        <f>(+'[34]Dec12loa'!$I$42)/1000</f>
        <v>19299.39</v>
      </c>
      <c r="S333" s="13">
        <f>(+'[34]Dec12loa'!$I$43)/1000</f>
        <v>1683.826</v>
      </c>
      <c r="T333" s="13">
        <f>(+'[34]Dec12loa'!$I$44)/1000</f>
        <v>132.233</v>
      </c>
      <c r="U333" s="49">
        <f>(+'[34]Dec12loa'!$J$46)/1000</f>
        <v>2287.006</v>
      </c>
      <c r="V333" s="49">
        <f aca="true" t="shared" si="33" ref="V333:V396">SUM(W333:Y333)</f>
        <v>11886.482</v>
      </c>
      <c r="W333" s="13">
        <f>(+'[34]Dec12loa'!$I$49)/1000</f>
        <v>5004.245</v>
      </c>
      <c r="X333" s="13">
        <f>(+'[34]Dec12loa'!$I$50)/1000</f>
        <v>445.638</v>
      </c>
      <c r="Y333" s="13">
        <f>(+'[34]Dec12loa'!$I$51)/1000</f>
        <v>6436.599</v>
      </c>
      <c r="Z333" s="49">
        <f>(+'[34]Dec12loa'!$J$53)/1000</f>
        <v>7517.952</v>
      </c>
      <c r="AA333" s="49">
        <f aca="true" t="shared" si="34" ref="AA333:AA396">SUM(AB333:AE333)</f>
        <v>25309.088</v>
      </c>
      <c r="AB333" s="13">
        <f>(+'[34]Dec12loa'!$I$56)/1000</f>
        <v>9520.873</v>
      </c>
      <c r="AC333" s="13">
        <f>(+'[34]Dec12loa'!$I$57)/1000</f>
        <v>0.044</v>
      </c>
      <c r="AD333" s="13">
        <f>(+'[34]Dec12loa'!$I$58)/1000</f>
        <v>15219.351</v>
      </c>
      <c r="AE333" s="13">
        <f>(+'[34]Dec12loa'!$I$59)/1000</f>
        <v>568.82</v>
      </c>
      <c r="AF333" s="49">
        <f>(+'[34]Dec12loa'!$J$61)/1000</f>
        <v>40054.658</v>
      </c>
      <c r="AG333" s="49">
        <v>0</v>
      </c>
      <c r="AH333" s="49">
        <f>(+'[34]Dec12loa'!$J$63)/1000</f>
        <v>26335.399</v>
      </c>
      <c r="AI333" s="49">
        <f>(+'[34]Dec12loa'!$J$65)/1000</f>
        <v>1132.48</v>
      </c>
      <c r="AJ333" s="49">
        <f>(+'[34]Dec12loa'!$J$67)/1000</f>
        <v>17793.515</v>
      </c>
      <c r="AK333" s="49">
        <f>(+'[34]Dec12loa'!$J$73)/1000</f>
        <v>127342.775</v>
      </c>
      <c r="AL333" s="49">
        <f>(+'[34]Dec12loa'!$J$77)/1000</f>
        <v>7808.869</v>
      </c>
      <c r="AM333" s="14">
        <f aca="true" t="shared" si="35" ref="AM333:AM396">+B333+F333+G333+Q333+U333+V333+Z333+AA333+AF333+AH333+AI333+AJ333+AK333+AL333+AG333</f>
        <v>307477.93100000004</v>
      </c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8"/>
      <c r="ED333" s="18"/>
      <c r="EE333" s="18"/>
      <c r="EF333" s="18"/>
      <c r="EG333" s="18"/>
      <c r="EH333" s="18"/>
      <c r="EI333" s="18"/>
      <c r="EJ333" s="18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</row>
    <row r="334" spans="1:159" s="19" customFormat="1" ht="15">
      <c r="A334" s="22">
        <v>41305</v>
      </c>
      <c r="B334" s="49">
        <f t="shared" si="30"/>
        <v>6212.124</v>
      </c>
      <c r="C334" s="13">
        <f>(+'[35]Jan13loa'!$I$10)/1000</f>
        <v>5017.519</v>
      </c>
      <c r="D334" s="13">
        <f>(+'[35]Jan13loa'!$I$19)/1000</f>
        <v>981.093</v>
      </c>
      <c r="E334" s="13">
        <f>(+'[35]Jan13loa'!$I$23)/1000</f>
        <v>213.512</v>
      </c>
      <c r="F334" s="49">
        <f>(+'[35]Jan13loa'!$J$25)/1000</f>
        <v>612.285</v>
      </c>
      <c r="G334" s="49">
        <f t="shared" si="31"/>
        <v>11384.821</v>
      </c>
      <c r="H334" s="13">
        <f>(+'[35]Jan13loa'!$I$30)/1000</f>
        <v>1572.089</v>
      </c>
      <c r="I334" s="13">
        <f>(+'[35]Jan13loa'!$I$31+'[35]Jan13loa'!$I$32)/1000</f>
        <v>4760.818</v>
      </c>
      <c r="J334" s="13">
        <f>(+'[35]Jan13loa'!$I$33)/1000</f>
        <v>155.32</v>
      </c>
      <c r="K334" s="13">
        <f>(+'[35]Jan13loa'!$I$34)/1000</f>
        <v>208.125</v>
      </c>
      <c r="L334" s="13">
        <f>(+'[35]Jan13loa'!$I$35)/1000</f>
        <v>469.71</v>
      </c>
      <c r="M334" s="13">
        <f>(+'[35]Jan13loa'!$I$36)/1000</f>
        <v>217.864</v>
      </c>
      <c r="N334" s="13">
        <f>(+'[35]Jan13loa'!$I$37)/1000</f>
        <v>854.727</v>
      </c>
      <c r="O334" s="13">
        <f>(+'[35]Jan13loa'!$I$38)/1000</f>
        <v>807.194</v>
      </c>
      <c r="P334" s="13">
        <f>(+'[35]Jan13loa'!$I$39)/1000</f>
        <v>2338.974</v>
      </c>
      <c r="Q334" s="49">
        <f t="shared" si="32"/>
        <v>21554.308</v>
      </c>
      <c r="R334" s="13">
        <f>(+'[35]Jan13loa'!$I$42)/1000</f>
        <v>19507.422</v>
      </c>
      <c r="S334" s="13">
        <f>(+'[35]Jan13loa'!$I$43)/1000</f>
        <v>1729.829</v>
      </c>
      <c r="T334" s="13">
        <f>(+'[35]Jan13loa'!$I$44)/1000</f>
        <v>317.057</v>
      </c>
      <c r="U334" s="49">
        <f>(+'[35]Jan13loa'!$J$46)/1000</f>
        <v>2328.17</v>
      </c>
      <c r="V334" s="49">
        <f t="shared" si="33"/>
        <v>12074.569</v>
      </c>
      <c r="W334" s="13">
        <f>(+'[35]Jan13loa'!$I$49)/1000</f>
        <v>5340.11</v>
      </c>
      <c r="X334" s="13">
        <f>(+'[35]Jan13loa'!$I$50)/1000</f>
        <v>435.608</v>
      </c>
      <c r="Y334" s="13">
        <f>(+'[35]Jan13loa'!$I$51)/1000</f>
        <v>6298.851</v>
      </c>
      <c r="Z334" s="49">
        <f>(+'[35]Jan13loa'!$J$53)/1000</f>
        <v>9616.769</v>
      </c>
      <c r="AA334" s="49">
        <f t="shared" si="34"/>
        <v>22964.408000000003</v>
      </c>
      <c r="AB334" s="13">
        <f>(+'[35]Jan13loa'!$I$56)/1000</f>
        <v>6447.745</v>
      </c>
      <c r="AC334" s="13">
        <f>(+'[35]Jan13loa'!$I$57)/1000</f>
        <v>0.049</v>
      </c>
      <c r="AD334" s="13">
        <f>(+'[35]Jan13loa'!$I$58)/1000</f>
        <v>15918.142</v>
      </c>
      <c r="AE334" s="13">
        <f>(+'[35]Jan13loa'!$I$59)/1000</f>
        <v>598.472</v>
      </c>
      <c r="AF334" s="49">
        <f>(+'[35]Jan13loa'!$J$61)/1000</f>
        <v>41144.51</v>
      </c>
      <c r="AG334" s="49">
        <v>0</v>
      </c>
      <c r="AH334" s="49">
        <f>(+'[35]Jan13loa'!$J$63)/1000</f>
        <v>28105.26</v>
      </c>
      <c r="AI334" s="49">
        <f>(+'[35]Jan13loa'!$J$65)/1000</f>
        <v>1827.881</v>
      </c>
      <c r="AJ334" s="49">
        <f>(+'[35]Jan13loa'!$J$67)/1000</f>
        <v>17618.954</v>
      </c>
      <c r="AK334" s="49">
        <f>(+'[35]Jan13loa'!$J$73)/1000</f>
        <v>129112.56</v>
      </c>
      <c r="AL334" s="49">
        <f>(+'[35]Jan13loa'!$J$77)/1000</f>
        <v>6927.555</v>
      </c>
      <c r="AM334" s="14">
        <f t="shared" si="35"/>
        <v>311484.174</v>
      </c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8"/>
      <c r="ED334" s="18"/>
      <c r="EE334" s="18"/>
      <c r="EF334" s="18"/>
      <c r="EG334" s="18"/>
      <c r="EH334" s="18"/>
      <c r="EI334" s="18"/>
      <c r="EJ334" s="18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</row>
    <row r="335" spans="1:159" s="19" customFormat="1" ht="15">
      <c r="A335" s="22">
        <v>41333</v>
      </c>
      <c r="B335" s="49">
        <f t="shared" si="30"/>
        <v>6248.522</v>
      </c>
      <c r="C335" s="13">
        <f>(+'[36]Feb13loa'!$I$10)/1000</f>
        <v>5035.37</v>
      </c>
      <c r="D335" s="13">
        <f>(+'[36]Feb13loa'!$I$19)/1000</f>
        <v>1000.14</v>
      </c>
      <c r="E335" s="13">
        <f>(+'[36]Feb13loa'!$I$23)/1000</f>
        <v>213.012</v>
      </c>
      <c r="F335" s="49">
        <f>(+'[36]Feb13loa'!$J$25)/1000</f>
        <v>595.82</v>
      </c>
      <c r="G335" s="49">
        <f t="shared" si="31"/>
        <v>11262.232</v>
      </c>
      <c r="H335" s="13">
        <f>(+'[36]Feb13loa'!$I$30)/1000</f>
        <v>1215.859</v>
      </c>
      <c r="I335" s="13">
        <f>(+'[36]Feb13loa'!$I$31+'[36]Feb13loa'!$I$32)/1000</f>
        <v>4874.592</v>
      </c>
      <c r="J335" s="13">
        <f>(+'[36]Feb13loa'!$I$33)/1000</f>
        <v>154.549</v>
      </c>
      <c r="K335" s="13">
        <f>(+'[36]Feb13loa'!$I$34)/1000</f>
        <v>220.842</v>
      </c>
      <c r="L335" s="13">
        <f>(+'[36]Feb13loa'!$I$35)/1000</f>
        <v>483.17</v>
      </c>
      <c r="M335" s="13">
        <f>(+'[36]Feb13loa'!$I$36)/1000</f>
        <v>224.386</v>
      </c>
      <c r="N335" s="13">
        <f>(+'[36]Feb13loa'!$I$37)/1000</f>
        <v>876.045</v>
      </c>
      <c r="O335" s="13">
        <f>(+'[36]Feb13loa'!$I$38)/1000</f>
        <v>810.342</v>
      </c>
      <c r="P335" s="13">
        <f>(+'[36]Feb13loa'!$I$39)/1000</f>
        <v>2402.447</v>
      </c>
      <c r="Q335" s="49">
        <f t="shared" si="32"/>
        <v>21802.301</v>
      </c>
      <c r="R335" s="13">
        <f>(+'[36]Feb13loa'!$I$42)/1000</f>
        <v>19733.158</v>
      </c>
      <c r="S335" s="13">
        <f>(+'[36]Feb13loa'!$I$43)/1000</f>
        <v>1757.477</v>
      </c>
      <c r="T335" s="13">
        <f>(+'[36]Feb13loa'!$I$44)/1000</f>
        <v>311.666</v>
      </c>
      <c r="U335" s="49">
        <f>(+'[36]Feb13loa'!$J$46)/1000</f>
        <v>2434.644</v>
      </c>
      <c r="V335" s="49">
        <f t="shared" si="33"/>
        <v>12471.438</v>
      </c>
      <c r="W335" s="13">
        <f>(+'[36]Feb13loa'!$I$49)/1000</f>
        <v>5463.595</v>
      </c>
      <c r="X335" s="13">
        <f>(+'[36]Feb13loa'!$I$50)/1000</f>
        <v>431.548</v>
      </c>
      <c r="Y335" s="13">
        <f>(+'[36]Feb13loa'!$I$51)/1000</f>
        <v>6576.295</v>
      </c>
      <c r="Z335" s="49">
        <f>(+'[36]Feb13loa'!$J$53)/1000</f>
        <v>12145.264</v>
      </c>
      <c r="AA335" s="49">
        <f t="shared" si="34"/>
        <v>23649.560999999998</v>
      </c>
      <c r="AB335" s="13">
        <f>(+'[36]Feb13loa'!$I$56)/1000</f>
        <v>6561.982</v>
      </c>
      <c r="AC335" s="13">
        <f>(+'[36]Feb13loa'!$I$57)/1000</f>
        <v>0.052</v>
      </c>
      <c r="AD335" s="13">
        <f>(+'[36]Feb13loa'!$I$58)/1000</f>
        <v>16513.064</v>
      </c>
      <c r="AE335" s="13">
        <f>(+'[36]Feb13loa'!$I$59)/1000</f>
        <v>574.463</v>
      </c>
      <c r="AF335" s="49">
        <f>(+'[36]Feb13loa'!$J$61)/1000</f>
        <v>41161.653</v>
      </c>
      <c r="AG335" s="49">
        <v>0</v>
      </c>
      <c r="AH335" s="49">
        <f>(+'[36]Feb13loa'!$J$63)/1000</f>
        <v>24884.545</v>
      </c>
      <c r="AI335" s="49">
        <f>(+'[36]Feb13loa'!$J$65)/1000</f>
        <v>2069.198</v>
      </c>
      <c r="AJ335" s="49">
        <f>(+'[36]Feb13loa'!$J$67)/1000</f>
        <v>17759.154</v>
      </c>
      <c r="AK335" s="49">
        <f>(+'[36]Feb13loa'!$J$73)/1000</f>
        <v>132511.328</v>
      </c>
      <c r="AL335" s="49">
        <f>(+'[36]Feb13loa'!$J$77)/1000</f>
        <v>8720.137</v>
      </c>
      <c r="AM335" s="14">
        <f t="shared" si="35"/>
        <v>317715.797</v>
      </c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8"/>
      <c r="ED335" s="18"/>
      <c r="EE335" s="18"/>
      <c r="EF335" s="18"/>
      <c r="EG335" s="18"/>
      <c r="EH335" s="18"/>
      <c r="EI335" s="18"/>
      <c r="EJ335" s="18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</row>
    <row r="336" spans="1:159" s="19" customFormat="1" ht="15">
      <c r="A336" s="22">
        <v>41364</v>
      </c>
      <c r="B336" s="49">
        <f t="shared" si="30"/>
        <v>6434.773999999999</v>
      </c>
      <c r="C336" s="13">
        <f>(+'[37]Mar13loa'!$I$10)/1000</f>
        <v>5209.16</v>
      </c>
      <c r="D336" s="13">
        <f>(+'[37]Mar13loa'!$I$19)/1000</f>
        <v>1017.214</v>
      </c>
      <c r="E336" s="13">
        <f>(+'[37]Mar13loa'!$I$23)/1000</f>
        <v>208.4</v>
      </c>
      <c r="F336" s="49">
        <f>(+'[37]Mar13loa'!$J$25)/1000</f>
        <v>646.989</v>
      </c>
      <c r="G336" s="49">
        <f t="shared" si="31"/>
        <v>12349.213</v>
      </c>
      <c r="H336" s="13">
        <f>(+'[37]Mar13loa'!$I$30)/1000</f>
        <v>655.817</v>
      </c>
      <c r="I336" s="13">
        <f>(+'[37]Mar13loa'!$I$31+'[37]Mar13loa'!$I$32)/1000</f>
        <v>5454.283</v>
      </c>
      <c r="J336" s="13">
        <f>(+'[37]Mar13loa'!$I$33)/1000</f>
        <v>245.892</v>
      </c>
      <c r="K336" s="13">
        <f>(+'[37]Mar13loa'!$I$34)/1000</f>
        <v>217.843</v>
      </c>
      <c r="L336" s="13">
        <f>(+'[37]Mar13loa'!$I$35)/1000</f>
        <v>456.862</v>
      </c>
      <c r="M336" s="13">
        <f>(+'[37]Mar13loa'!$I$36)/1000</f>
        <v>225.675</v>
      </c>
      <c r="N336" s="13">
        <f>(+'[37]Mar13loa'!$I$37)/1000</f>
        <v>875.029</v>
      </c>
      <c r="O336" s="13">
        <f>(+'[37]Mar13loa'!$I$38)/1000</f>
        <v>785.214</v>
      </c>
      <c r="P336" s="13">
        <f>(+'[37]Mar13loa'!$I$39)/1000</f>
        <v>3432.598</v>
      </c>
      <c r="Q336" s="49">
        <f t="shared" si="32"/>
        <v>22115.827000000005</v>
      </c>
      <c r="R336" s="13">
        <f>(+'[37]Mar13loa'!$I$42)/1000</f>
        <v>20074.044</v>
      </c>
      <c r="S336" s="13">
        <f>(+'[37]Mar13loa'!$I$43)/1000</f>
        <v>1727.579</v>
      </c>
      <c r="T336" s="13">
        <f>(+'[37]Mar13loa'!$I$44)/1000</f>
        <v>314.204</v>
      </c>
      <c r="U336" s="49">
        <f>(+'[37]Mar13loa'!$J$46)/1000</f>
        <v>2483.054</v>
      </c>
      <c r="V336" s="49">
        <f t="shared" si="33"/>
        <v>12507.944</v>
      </c>
      <c r="W336" s="13">
        <f>(+'[37]Mar13loa'!$I$49)/1000</f>
        <v>5579.313</v>
      </c>
      <c r="X336" s="13">
        <f>(+'[37]Mar13loa'!$I$50)/1000</f>
        <v>429.541</v>
      </c>
      <c r="Y336" s="13">
        <f>(+'[37]Mar13loa'!$I$51)/1000</f>
        <v>6499.09</v>
      </c>
      <c r="Z336" s="49">
        <f>(+'[37]Mar13loa'!$J$53)/1000</f>
        <v>12502.771</v>
      </c>
      <c r="AA336" s="49">
        <f t="shared" si="34"/>
        <v>22834.574</v>
      </c>
      <c r="AB336" s="13">
        <f>(+'[37]Mar13loa'!$I$56)/1000</f>
        <v>6518.261</v>
      </c>
      <c r="AC336" s="13">
        <f>(+'[37]Mar13loa'!$I$57)/1000</f>
        <v>0.058</v>
      </c>
      <c r="AD336" s="13">
        <f>(+'[37]Mar13loa'!$I$58)/1000</f>
        <v>15646.921</v>
      </c>
      <c r="AE336" s="13">
        <f>(+'[37]Mar13loa'!$I$59)/1000</f>
        <v>669.334</v>
      </c>
      <c r="AF336" s="49">
        <f>(+'[37]Mar13loa'!$J$61)/1000</f>
        <v>41716.726</v>
      </c>
      <c r="AG336" s="49">
        <v>0</v>
      </c>
      <c r="AH336" s="49">
        <f>(+'[37]Mar13loa'!$J$63)/1000</f>
        <v>25025.308</v>
      </c>
      <c r="AI336" s="49">
        <f>(+'[37]Mar13loa'!$J$65)/1000</f>
        <v>2119.898</v>
      </c>
      <c r="AJ336" s="49">
        <f>(+'[37]Mar13loa'!$J$67)/1000</f>
        <v>18313.063</v>
      </c>
      <c r="AK336" s="49">
        <f>(+'[37]Mar13loa'!$J$73)/1000</f>
        <v>134929.343</v>
      </c>
      <c r="AL336" s="49">
        <f>(+'[37]Mar13loa'!$J$77)/1000</f>
        <v>8801.043</v>
      </c>
      <c r="AM336" s="14">
        <f t="shared" si="35"/>
        <v>322780.52699999994</v>
      </c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8"/>
      <c r="ED336" s="18"/>
      <c r="EE336" s="18"/>
      <c r="EF336" s="18"/>
      <c r="EG336" s="18"/>
      <c r="EH336" s="18"/>
      <c r="EI336" s="18"/>
      <c r="EJ336" s="18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</row>
    <row r="337" spans="1:159" s="19" customFormat="1" ht="15">
      <c r="A337" s="22">
        <v>41394</v>
      </c>
      <c r="B337" s="49">
        <f t="shared" si="30"/>
        <v>6347.307</v>
      </c>
      <c r="C337" s="13">
        <f>(+'[38]Apr13loa'!$I$10)/1000</f>
        <v>5135.758</v>
      </c>
      <c r="D337" s="13">
        <f>(+'[38]Apr13loa'!$I$19)/1000</f>
        <v>1006.835</v>
      </c>
      <c r="E337" s="13">
        <f>(+'[38]Apr13loa'!$I$23)/1000</f>
        <v>204.714</v>
      </c>
      <c r="F337" s="49">
        <f>(+'[38]Apr13loa'!$J$25)/1000</f>
        <v>642.788</v>
      </c>
      <c r="G337" s="49">
        <f t="shared" si="31"/>
        <v>11765.982000000002</v>
      </c>
      <c r="H337" s="13">
        <f>(+'[38]Apr13loa'!$I$30)/1000</f>
        <v>287.033</v>
      </c>
      <c r="I337" s="13">
        <f>(+'[38]Apr13loa'!$I$31+'[38]Apr13loa'!$I$32)/1000</f>
        <v>5464.026</v>
      </c>
      <c r="J337" s="13">
        <f>(+'[38]Apr13loa'!$I$33)/1000</f>
        <v>237.553</v>
      </c>
      <c r="K337" s="13">
        <f>(+'[38]Apr13loa'!$I$34)/1000</f>
        <v>220.109</v>
      </c>
      <c r="L337" s="13">
        <f>(+'[38]Apr13loa'!$I$35)/1000</f>
        <v>463.814</v>
      </c>
      <c r="M337" s="13">
        <f>(+'[38]Apr13loa'!$I$36)/1000</f>
        <v>219.239</v>
      </c>
      <c r="N337" s="13">
        <f>(+'[38]Apr13loa'!$I$37)/1000</f>
        <v>887.956</v>
      </c>
      <c r="O337" s="13">
        <f>(+'[38]Apr13loa'!$I$38)/1000</f>
        <v>783.303</v>
      </c>
      <c r="P337" s="13">
        <f>(+'[38]Apr13loa'!$I$39)/1000</f>
        <v>3202.949</v>
      </c>
      <c r="Q337" s="49">
        <f t="shared" si="32"/>
        <v>22648.079999999998</v>
      </c>
      <c r="R337" s="13">
        <f>(+'[38]Apr13loa'!$I$42)/1000</f>
        <v>20604.152</v>
      </c>
      <c r="S337" s="13">
        <f>(+'[38]Apr13loa'!$I$43)/1000</f>
        <v>1731.656</v>
      </c>
      <c r="T337" s="13">
        <f>(+'[38]Apr13loa'!$I$44)/1000</f>
        <v>312.272</v>
      </c>
      <c r="U337" s="49">
        <f>(+'[38]Apr13loa'!$J$46)/1000</f>
        <v>2459.945</v>
      </c>
      <c r="V337" s="49">
        <f t="shared" si="33"/>
        <v>12950.106</v>
      </c>
      <c r="W337" s="13">
        <f>(+'[38]Apr13loa'!$I$49)/1000</f>
        <v>5587.11</v>
      </c>
      <c r="X337" s="13">
        <f>(+'[38]Apr13loa'!$I$50)/1000</f>
        <v>410.474</v>
      </c>
      <c r="Y337" s="13">
        <f>(+'[38]Apr13loa'!$I$51)/1000</f>
        <v>6952.522</v>
      </c>
      <c r="Z337" s="49">
        <f>(+'[38]Apr13loa'!$J$53)/1000</f>
        <v>11632.572</v>
      </c>
      <c r="AA337" s="49">
        <f t="shared" si="34"/>
        <v>24846.77</v>
      </c>
      <c r="AB337" s="13">
        <f>(+'[38]Apr13loa'!$I$56)/1000</f>
        <v>6909.205</v>
      </c>
      <c r="AC337" s="13">
        <f>(+'[38]Apr13loa'!$I$57)/1000</f>
        <v>0.058</v>
      </c>
      <c r="AD337" s="13">
        <f>(+'[38]Apr13loa'!$I$58)/1000</f>
        <v>17277.168</v>
      </c>
      <c r="AE337" s="13">
        <f>(+'[38]Apr13loa'!$I$59)/1000</f>
        <v>660.339</v>
      </c>
      <c r="AF337" s="49">
        <f>(+'[38]Apr13loa'!$J$61)/1000</f>
        <v>42197.121</v>
      </c>
      <c r="AG337" s="49">
        <v>0</v>
      </c>
      <c r="AH337" s="49">
        <f>(+'[38]Apr13loa'!$J$63)/1000</f>
        <v>24978.743</v>
      </c>
      <c r="AI337" s="49">
        <f>(+'[38]Apr13loa'!$J$65)/1000</f>
        <v>1931.617</v>
      </c>
      <c r="AJ337" s="49">
        <f>(+'[38]Apr13loa'!$J$67)/1000</f>
        <v>18174.909</v>
      </c>
      <c r="AK337" s="49">
        <f>(+'[38]Apr13loa'!$J$73)/1000</f>
        <v>137132.75</v>
      </c>
      <c r="AL337" s="49">
        <f>(+'[38]Apr13loa'!$J$77)/1000</f>
        <v>8829.676</v>
      </c>
      <c r="AM337" s="14">
        <f t="shared" si="35"/>
        <v>326538.366</v>
      </c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8"/>
      <c r="ED337" s="18"/>
      <c r="EE337" s="18"/>
      <c r="EF337" s="18"/>
      <c r="EG337" s="18"/>
      <c r="EH337" s="18"/>
      <c r="EI337" s="18"/>
      <c r="EJ337" s="18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</row>
    <row r="338" spans="1:159" s="19" customFormat="1" ht="15">
      <c r="A338" s="22">
        <v>41425</v>
      </c>
      <c r="B338" s="49">
        <f t="shared" si="30"/>
        <v>6263.3550000000005</v>
      </c>
      <c r="C338" s="13">
        <f>(+'[39]May13loa'!$I$10)/1000</f>
        <v>5013.805</v>
      </c>
      <c r="D338" s="13">
        <f>(+'[39]May13loa'!$I$19)/1000</f>
        <v>1047.717</v>
      </c>
      <c r="E338" s="13">
        <f>(+'[39]May13loa'!$I$23)/1000</f>
        <v>201.833</v>
      </c>
      <c r="F338" s="49">
        <f>(+'[39]May13loa'!$J$25)/1000</f>
        <v>650.984</v>
      </c>
      <c r="G338" s="49">
        <f t="shared" si="31"/>
        <v>10918.992000000002</v>
      </c>
      <c r="H338" s="13">
        <f>(+'[39]May13loa'!$I$30)/1000</f>
        <v>272.815</v>
      </c>
      <c r="I338" s="13">
        <f>(+'[39]May13loa'!$I$31+'[39]May13loa'!$I$32)/1000</f>
        <v>4690.327</v>
      </c>
      <c r="J338" s="13">
        <f>(+'[39]May13loa'!$I$33)/1000</f>
        <v>246.559</v>
      </c>
      <c r="K338" s="13">
        <f>(+'[39]May13loa'!$I$34)/1000</f>
        <v>217.457</v>
      </c>
      <c r="L338" s="13">
        <f>(+'[39]May13loa'!$I$35)/1000</f>
        <v>465.433</v>
      </c>
      <c r="M338" s="13">
        <f>(+'[39]May13loa'!$I$36)/1000</f>
        <v>221.349</v>
      </c>
      <c r="N338" s="13">
        <f>(+'[39]May13loa'!$I$37)/1000</f>
        <v>878.617</v>
      </c>
      <c r="O338" s="13">
        <f>(+'[39]May13loa'!$I$38)/1000</f>
        <v>778.966</v>
      </c>
      <c r="P338" s="13">
        <f>(+'[39]May13loa'!$I$39)/1000</f>
        <v>3147.469</v>
      </c>
      <c r="Q338" s="49">
        <f t="shared" si="32"/>
        <v>22711.493000000002</v>
      </c>
      <c r="R338" s="13">
        <f>(+'[39]May13loa'!$I$42)/1000</f>
        <v>20691.649</v>
      </c>
      <c r="S338" s="13">
        <f>(+'[39]May13loa'!$I$43)/1000</f>
        <v>1709.595</v>
      </c>
      <c r="T338" s="13">
        <f>(+'[39]May13loa'!$I$44)/1000</f>
        <v>310.249</v>
      </c>
      <c r="U338" s="49">
        <f>(+'[39]May13loa'!$J$46)/1000</f>
        <v>2488.517</v>
      </c>
      <c r="V338" s="49">
        <f t="shared" si="33"/>
        <v>12364.979</v>
      </c>
      <c r="W338" s="13">
        <f>(+'[39]May13loa'!$I$49)/1000</f>
        <v>5455.082</v>
      </c>
      <c r="X338" s="13">
        <f>(+'[39]May13loa'!$I$50)/1000</f>
        <v>405.643</v>
      </c>
      <c r="Y338" s="13">
        <f>(+'[39]May13loa'!$I$51)/1000</f>
        <v>6504.254</v>
      </c>
      <c r="Z338" s="49">
        <f>(+'[39]May13loa'!$J$53)/1000</f>
        <v>11728.218</v>
      </c>
      <c r="AA338" s="49">
        <f t="shared" si="34"/>
        <v>25682.798</v>
      </c>
      <c r="AB338" s="13">
        <f>(+'[39]May13loa'!$I$56)/1000</f>
        <v>7116.718</v>
      </c>
      <c r="AC338" s="13">
        <f>(+'[39]May13loa'!$I$57)/1000</f>
        <v>0.062</v>
      </c>
      <c r="AD338" s="13">
        <f>(+'[39]May13loa'!$I$58)/1000</f>
        <v>17914.878</v>
      </c>
      <c r="AE338" s="13">
        <f>(+'[39]May13loa'!$I$59)/1000</f>
        <v>651.14</v>
      </c>
      <c r="AF338" s="49">
        <f>(+'[39]May13loa'!$J$61)/1000</f>
        <v>42956.53</v>
      </c>
      <c r="AG338" s="49">
        <v>0</v>
      </c>
      <c r="AH338" s="49">
        <f>(+'[39]May13loa'!$J$63)/1000</f>
        <v>26444.595</v>
      </c>
      <c r="AI338" s="49">
        <f>(+'[39]May13loa'!$J$65)/1000</f>
        <v>1972.764</v>
      </c>
      <c r="AJ338" s="49">
        <f>(+'[39]May13loa'!$J$67)/1000</f>
        <v>18489.534</v>
      </c>
      <c r="AK338" s="49">
        <f>(+'[39]May13loa'!$J$73)/1000</f>
        <v>138917.586</v>
      </c>
      <c r="AL338" s="49">
        <f>(+'[39]May13loa'!$J$77)/1000</f>
        <v>8626.187</v>
      </c>
      <c r="AM338" s="14">
        <f t="shared" si="35"/>
        <v>330216.53199999995</v>
      </c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8"/>
      <c r="ED338" s="18"/>
      <c r="EE338" s="18"/>
      <c r="EF338" s="18"/>
      <c r="EG338" s="18"/>
      <c r="EH338" s="18"/>
      <c r="EI338" s="18"/>
      <c r="EJ338" s="18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</row>
    <row r="339" spans="1:159" s="19" customFormat="1" ht="15">
      <c r="A339" s="22">
        <v>41455</v>
      </c>
      <c r="B339" s="49">
        <f t="shared" si="30"/>
        <v>6284.813</v>
      </c>
      <c r="C339" s="13">
        <f>(+'[40]Jun13loa'!$I$10)/1000</f>
        <v>5067.59</v>
      </c>
      <c r="D339" s="13">
        <f>(+'[40]Jun13loa'!$I$19)/1000</f>
        <v>1018.271</v>
      </c>
      <c r="E339" s="13">
        <f>(+'[40]Jun13loa'!$I$23)/1000</f>
        <v>198.952</v>
      </c>
      <c r="F339" s="49">
        <f>(+'[40]Jun13loa'!$J$25)/1000</f>
        <v>564.011</v>
      </c>
      <c r="G339" s="49">
        <f t="shared" si="31"/>
        <v>10965.433</v>
      </c>
      <c r="H339" s="13">
        <f>(+'[40]Jun13loa'!$I$30)/1000</f>
        <v>268.361</v>
      </c>
      <c r="I339" s="13">
        <f>(+'[40]Jun13loa'!$I$31+'[40]Jun13loa'!$I$32)/1000</f>
        <v>4716.203</v>
      </c>
      <c r="J339" s="13">
        <f>(+'[40]Jun13loa'!$I$33)/1000</f>
        <v>243.345</v>
      </c>
      <c r="K339" s="13">
        <f>(+'[40]Jun13loa'!$I$34)/1000</f>
        <v>245.156</v>
      </c>
      <c r="L339" s="13">
        <f>(+'[40]Jun13loa'!$I$35)/1000</f>
        <v>481.836</v>
      </c>
      <c r="M339" s="13">
        <f>(+'[40]Jun13loa'!$I$36)/1000</f>
        <v>217.071</v>
      </c>
      <c r="N339" s="13">
        <f>(+'[40]Jun13loa'!$I$37)/1000</f>
        <v>862.969</v>
      </c>
      <c r="O339" s="13">
        <f>(+'[40]Jun13loa'!$I$38)/1000</f>
        <v>765.494</v>
      </c>
      <c r="P339" s="13">
        <f>(+'[40]Jun13loa'!$I$39)/1000</f>
        <v>3164.998</v>
      </c>
      <c r="Q339" s="49">
        <f t="shared" si="32"/>
        <v>22490.073</v>
      </c>
      <c r="R339" s="13">
        <f>(+'[40]Jun13loa'!$I$42)/1000</f>
        <v>20472.201</v>
      </c>
      <c r="S339" s="13">
        <f>(+'[40]Jun13loa'!$I$43)/1000</f>
        <v>1708.878</v>
      </c>
      <c r="T339" s="13">
        <f>(+'[40]Jun13loa'!$I$44)/1000</f>
        <v>308.994</v>
      </c>
      <c r="U339" s="49">
        <f>(+'[40]Jun13loa'!$J$46)/1000</f>
        <v>2507.751</v>
      </c>
      <c r="V339" s="49">
        <f t="shared" si="33"/>
        <v>12647.545</v>
      </c>
      <c r="W339" s="13">
        <f>(+'[40]Jun13loa'!$I$49)/1000</f>
        <v>5483.452</v>
      </c>
      <c r="X339" s="13">
        <f>(+'[40]Jun13loa'!$I$50)/1000</f>
        <v>396.119</v>
      </c>
      <c r="Y339" s="13">
        <f>(+'[40]Jun13loa'!$I$51)/1000</f>
        <v>6767.974</v>
      </c>
      <c r="Z339" s="49">
        <f>(+'[40]Jun13loa'!$J$53)/1000</f>
        <v>11456.7</v>
      </c>
      <c r="AA339" s="49">
        <f t="shared" si="34"/>
        <v>26256.246999999996</v>
      </c>
      <c r="AB339" s="13">
        <f>(+'[40]Jun13loa'!$I$56)/1000</f>
        <v>7417.377</v>
      </c>
      <c r="AC339" s="13">
        <f>(+'[40]Jun13loa'!$I$57)/1000</f>
        <v>0.061</v>
      </c>
      <c r="AD339" s="13">
        <f>(+'[40]Jun13loa'!$I$58)/1000</f>
        <v>18180.586</v>
      </c>
      <c r="AE339" s="13">
        <f>(+'[40]Jun13loa'!$I$59)/1000</f>
        <v>658.223</v>
      </c>
      <c r="AF339" s="49">
        <f>(+'[40]Jun13loa'!$J$61)/1000</f>
        <v>43694.598</v>
      </c>
      <c r="AG339" s="49">
        <v>0</v>
      </c>
      <c r="AH339" s="49">
        <f>(+'[40]Jun13loa'!$J$63)/1000</f>
        <v>26555.704</v>
      </c>
      <c r="AI339" s="49">
        <f>(+'[40]Jun13loa'!$J$65)/1000</f>
        <v>1962.582</v>
      </c>
      <c r="AJ339" s="49">
        <f>(+'[40]Jun13loa'!$J$67)/1000</f>
        <v>19240.649</v>
      </c>
      <c r="AK339" s="49">
        <f>(+'[40]Jun13loa'!$J$73)/1000</f>
        <v>140528.385</v>
      </c>
      <c r="AL339" s="49">
        <f>(+'[40]Jun13loa'!$J$77)/1000</f>
        <v>8736.545</v>
      </c>
      <c r="AM339" s="14">
        <f t="shared" si="35"/>
        <v>333891.036</v>
      </c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8"/>
      <c r="ED339" s="18"/>
      <c r="EE339" s="18"/>
      <c r="EF339" s="18"/>
      <c r="EG339" s="18"/>
      <c r="EH339" s="18"/>
      <c r="EI339" s="18"/>
      <c r="EJ339" s="18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</row>
    <row r="340" spans="1:159" s="19" customFormat="1" ht="15">
      <c r="A340" s="22">
        <v>41486</v>
      </c>
      <c r="B340" s="49">
        <f t="shared" si="30"/>
        <v>6351.759</v>
      </c>
      <c r="C340" s="13">
        <f>(+'[41]Jul13loa'!$I$10)/1000</f>
        <v>5157.274</v>
      </c>
      <c r="D340" s="13">
        <f>(+'[41]Jul13loa'!$I$19)/1000</f>
        <v>1000.795</v>
      </c>
      <c r="E340" s="13">
        <f>(+'[41]Jul13loa'!$I$23)/1000</f>
        <v>193.69</v>
      </c>
      <c r="F340" s="49">
        <f>(+'[41]Jul13loa'!$J$25)/1000</f>
        <v>680.576</v>
      </c>
      <c r="G340" s="49">
        <f t="shared" si="31"/>
        <v>10766.780999999999</v>
      </c>
      <c r="H340" s="13">
        <f>(+'[41]Jul13loa'!$I$30)/1000</f>
        <v>50.083</v>
      </c>
      <c r="I340" s="13">
        <f>(+'[41]Jul13loa'!$I$31+'[41]Jul13loa'!$I$32)/1000</f>
        <v>4798.15</v>
      </c>
      <c r="J340" s="13">
        <f>(+'[41]Jul13loa'!$I$33)/1000</f>
        <v>234.902</v>
      </c>
      <c r="K340" s="13">
        <f>(+'[41]Jul13loa'!$I$34)/1000</f>
        <v>239.744</v>
      </c>
      <c r="L340" s="13">
        <f>(+'[41]Jul13loa'!$I$35)/1000</f>
        <v>469.853</v>
      </c>
      <c r="M340" s="13">
        <f>(+'[41]Jul13loa'!$I$36)/1000</f>
        <v>218.139</v>
      </c>
      <c r="N340" s="13">
        <f>(+'[41]Jul13loa'!$I$37)/1000</f>
        <v>853.423</v>
      </c>
      <c r="O340" s="13">
        <f>(+'[41]Jul13loa'!$I$38)/1000</f>
        <v>737.924</v>
      </c>
      <c r="P340" s="13">
        <f>(+'[41]Jul13loa'!$I$39)/1000</f>
        <v>3164.563</v>
      </c>
      <c r="Q340" s="49">
        <f t="shared" si="32"/>
        <v>22535.459</v>
      </c>
      <c r="R340" s="13">
        <f>(+'[41]Jul13loa'!$I$42)/1000</f>
        <v>20531.913</v>
      </c>
      <c r="S340" s="13">
        <f>(+'[41]Jul13loa'!$I$43)/1000</f>
        <v>1698.46</v>
      </c>
      <c r="T340" s="13">
        <f>(+'[41]Jul13loa'!$I$44)/1000</f>
        <v>305.086</v>
      </c>
      <c r="U340" s="49">
        <f>(+'[41]Jul13loa'!$J$46)/1000</f>
        <v>2700.416</v>
      </c>
      <c r="V340" s="49">
        <f t="shared" si="33"/>
        <v>12575.294</v>
      </c>
      <c r="W340" s="13">
        <f>(+'[41]Jul13loa'!$I$49)/1000</f>
        <v>5567.263</v>
      </c>
      <c r="X340" s="13">
        <f>(+'[41]Jul13loa'!$I$50)/1000</f>
        <v>397.238</v>
      </c>
      <c r="Y340" s="13">
        <f>(+'[41]Jul13loa'!$I$51)/1000</f>
        <v>6610.793</v>
      </c>
      <c r="Z340" s="49">
        <f>(+'[41]Jul13loa'!$J$53)/1000</f>
        <v>11368.5</v>
      </c>
      <c r="AA340" s="49">
        <f t="shared" si="34"/>
        <v>25692.542999999998</v>
      </c>
      <c r="AB340" s="13">
        <f>(+'[41]Jul13loa'!$I$56)/1000</f>
        <v>7470.145</v>
      </c>
      <c r="AC340" s="13">
        <f>(+'[41]Jul13loa'!$I$57)/1000</f>
        <v>0.004</v>
      </c>
      <c r="AD340" s="13">
        <f>(+'[41]Jul13loa'!$I$58)/1000</f>
        <v>17590.403</v>
      </c>
      <c r="AE340" s="13">
        <f>(+'[41]Jul13loa'!$I$59)/1000</f>
        <v>631.991</v>
      </c>
      <c r="AF340" s="49">
        <f>(+'[41]Jul13loa'!$J$61)/1000</f>
        <v>44899.964</v>
      </c>
      <c r="AG340" s="49">
        <v>0</v>
      </c>
      <c r="AH340" s="49">
        <f>(+'[41]Jul13loa'!$J$63)/1000</f>
        <v>27832.736</v>
      </c>
      <c r="AI340" s="49">
        <f>(+'[41]Jul13loa'!$J$65)/1000</f>
        <v>1998.205</v>
      </c>
      <c r="AJ340" s="49">
        <f>(+'[41]Jul13loa'!$J$67)/1000</f>
        <v>19416.007</v>
      </c>
      <c r="AK340" s="49">
        <f>(+'[41]Jul13loa'!$J$73)/1000</f>
        <v>141723.088</v>
      </c>
      <c r="AL340" s="49">
        <f>(+'[41]Jul13loa'!$J$77)/1000</f>
        <v>8747.912</v>
      </c>
      <c r="AM340" s="14">
        <f t="shared" si="35"/>
        <v>337289.24</v>
      </c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8"/>
      <c r="ED340" s="18"/>
      <c r="EE340" s="18"/>
      <c r="EF340" s="18"/>
      <c r="EG340" s="18"/>
      <c r="EH340" s="18"/>
      <c r="EI340" s="18"/>
      <c r="EJ340" s="18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</row>
    <row r="341" spans="1:159" s="19" customFormat="1" ht="15">
      <c r="A341" s="22">
        <v>41517</v>
      </c>
      <c r="B341" s="49">
        <f t="shared" si="30"/>
        <v>7793.487999999999</v>
      </c>
      <c r="C341" s="13">
        <f>(+'[42]Aug13loa'!$I$10)/1000</f>
        <v>6285.365</v>
      </c>
      <c r="D341" s="13">
        <f>(+'[42]Aug13loa'!$I$19)/1000</f>
        <v>1310.801</v>
      </c>
      <c r="E341" s="13">
        <f>(+'[42]Aug13loa'!$I$23)/1000</f>
        <v>197.322</v>
      </c>
      <c r="F341" s="49">
        <f>(+'[42]Aug13loa'!$J$25)/1000</f>
        <v>720.395</v>
      </c>
      <c r="G341" s="49">
        <f t="shared" si="31"/>
        <v>10742.022</v>
      </c>
      <c r="H341" s="13">
        <f>(+'[42]Aug13loa'!$I$30)/1000</f>
        <v>486.66</v>
      </c>
      <c r="I341" s="13">
        <f>(+'[42]Aug13loa'!$I$31+'[42]Aug13loa'!$I$32)/1000</f>
        <v>4186.606</v>
      </c>
      <c r="J341" s="13">
        <f>(+'[42]Aug13loa'!$I$33)/1000</f>
        <v>232.555</v>
      </c>
      <c r="K341" s="13">
        <f>(+'[42]Aug13loa'!$I$34)/1000</f>
        <v>235.222</v>
      </c>
      <c r="L341" s="13">
        <f>(+'[42]Aug13loa'!$I$35)/1000</f>
        <v>468.92</v>
      </c>
      <c r="M341" s="13">
        <f>(+'[42]Aug13loa'!$I$36)/1000</f>
        <v>225.618</v>
      </c>
      <c r="N341" s="13">
        <f>(+'[42]Aug13loa'!$I$37)/1000</f>
        <v>1085.717</v>
      </c>
      <c r="O341" s="13">
        <f>(+'[42]Aug13loa'!$I$38)/1000</f>
        <v>690.601</v>
      </c>
      <c r="P341" s="13">
        <f>(+'[42]Aug13loa'!$I$39)/1000</f>
        <v>3130.123</v>
      </c>
      <c r="Q341" s="49">
        <f t="shared" si="32"/>
        <v>22559.889</v>
      </c>
      <c r="R341" s="13">
        <f>(+'[42]Aug13loa'!$I$42)/1000</f>
        <v>20559.033</v>
      </c>
      <c r="S341" s="13">
        <f>(+'[42]Aug13loa'!$I$43)/1000</f>
        <v>1698.444</v>
      </c>
      <c r="T341" s="13">
        <f>(+'[42]Aug13loa'!$I$44)/1000</f>
        <v>302.412</v>
      </c>
      <c r="U341" s="49">
        <f>(+'[42]Aug13loa'!$J$46)/1000</f>
        <v>2685.37</v>
      </c>
      <c r="V341" s="49">
        <f t="shared" si="33"/>
        <v>12512.649000000001</v>
      </c>
      <c r="W341" s="13">
        <f>(+'[42]Aug13loa'!$I$49)/1000</f>
        <v>5498.948</v>
      </c>
      <c r="X341" s="13">
        <f>(+'[42]Aug13loa'!$I$50)/1000</f>
        <v>387.886</v>
      </c>
      <c r="Y341" s="13">
        <f>(+'[42]Aug13loa'!$I$51)/1000</f>
        <v>6625.815</v>
      </c>
      <c r="Z341" s="49">
        <f>(+'[42]Aug13loa'!$J$53)/1000</f>
        <v>11073.502</v>
      </c>
      <c r="AA341" s="49">
        <f t="shared" si="34"/>
        <v>26630.132</v>
      </c>
      <c r="AB341" s="13">
        <f>(+'[42]Aug13loa'!$I$56)/1000</f>
        <v>7355.126</v>
      </c>
      <c r="AC341" s="13">
        <f>(+'[42]Aug13loa'!$I$57)/1000</f>
        <v>0.003</v>
      </c>
      <c r="AD341" s="13">
        <f>(+'[42]Aug13loa'!$I$58)/1000</f>
        <v>18645.96</v>
      </c>
      <c r="AE341" s="13">
        <f>(+'[42]Aug13loa'!$I$59)/1000</f>
        <v>629.043</v>
      </c>
      <c r="AF341" s="49">
        <f>(+'[42]Aug13loa'!$J$61)/1000</f>
        <v>43596.862</v>
      </c>
      <c r="AG341" s="49">
        <v>0</v>
      </c>
      <c r="AH341" s="49">
        <f>(+'[42]Aug13loa'!$J$63)/1000</f>
        <v>27657.71</v>
      </c>
      <c r="AI341" s="49">
        <f>(+'[42]Aug13loa'!$J$65)/1000</f>
        <v>2005.39</v>
      </c>
      <c r="AJ341" s="49">
        <f>(+'[42]Aug13loa'!$J$67)/1000</f>
        <v>20092.776</v>
      </c>
      <c r="AK341" s="49">
        <f>(+'[42]Aug13loa'!$J$73)/1000</f>
        <v>150975.331</v>
      </c>
      <c r="AL341" s="49">
        <f>(+'[42]Aug13loa'!$J$77)/1000</f>
        <v>9347.353</v>
      </c>
      <c r="AM341" s="14">
        <f t="shared" si="35"/>
        <v>348392.86900000006</v>
      </c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8"/>
      <c r="ED341" s="18"/>
      <c r="EE341" s="18"/>
      <c r="EF341" s="18"/>
      <c r="EG341" s="18"/>
      <c r="EH341" s="18"/>
      <c r="EI341" s="18"/>
      <c r="EJ341" s="18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</row>
    <row r="342" spans="1:159" s="19" customFormat="1" ht="15">
      <c r="A342" s="22">
        <v>41547</v>
      </c>
      <c r="B342" s="49">
        <f t="shared" si="30"/>
        <v>8008.061</v>
      </c>
      <c r="C342" s="13">
        <f>(+'[43]Sep13loa'!$I$10)/1000</f>
        <v>6516.936</v>
      </c>
      <c r="D342" s="13">
        <f>(+'[43]Sep13loa'!$I$19)/1000</f>
        <v>1299.132</v>
      </c>
      <c r="E342" s="13">
        <f>(+'[43]Sep13loa'!$I$23)/1000</f>
        <v>191.993</v>
      </c>
      <c r="F342" s="49">
        <f>(+'[43]Sep13loa'!$J$25)/1000</f>
        <v>698.12</v>
      </c>
      <c r="G342" s="49">
        <f t="shared" si="31"/>
        <v>10761.993</v>
      </c>
      <c r="H342" s="13">
        <f>(+'[43]Sep13loa'!$I$30)/1000</f>
        <v>490.729</v>
      </c>
      <c r="I342" s="13">
        <f>(+'[43]Sep13loa'!$I$31+'[43]Sep13loa'!$I$32)/1000</f>
        <v>4274.67</v>
      </c>
      <c r="J342" s="13">
        <f>(+'[43]Sep13loa'!$I$33)/1000</f>
        <v>242.425</v>
      </c>
      <c r="K342" s="13">
        <f>(+'[43]Sep13loa'!$I$34)/1000</f>
        <v>230.939</v>
      </c>
      <c r="L342" s="13">
        <f>(+'[43]Sep13loa'!$I$35)/1000</f>
        <v>476.134</v>
      </c>
      <c r="M342" s="13">
        <f>(+'[43]Sep13loa'!$I$36)/1000</f>
        <v>181.339</v>
      </c>
      <c r="N342" s="13">
        <f>(+'[43]Sep13loa'!$I$37)/1000</f>
        <v>1039.366</v>
      </c>
      <c r="O342" s="13">
        <f>(+'[43]Sep13loa'!$I$38)/1000</f>
        <v>692.695</v>
      </c>
      <c r="P342" s="13">
        <f>(+'[43]Sep13loa'!$I$39)/1000</f>
        <v>3133.696</v>
      </c>
      <c r="Q342" s="49">
        <f t="shared" si="32"/>
        <v>23031.699</v>
      </c>
      <c r="R342" s="13">
        <f>(+'[43]Sep13loa'!$I$42)/1000</f>
        <v>21038.728</v>
      </c>
      <c r="S342" s="13">
        <f>(+'[43]Sep13loa'!$I$43)/1000</f>
        <v>1692.884</v>
      </c>
      <c r="T342" s="13">
        <f>(+'[43]Sep13loa'!$I$44)/1000</f>
        <v>300.087</v>
      </c>
      <c r="U342" s="49">
        <f>(+'[43]Sep13loa'!$J$46)/1000</f>
        <v>2901.913</v>
      </c>
      <c r="V342" s="49">
        <f t="shared" si="33"/>
        <v>12710.188</v>
      </c>
      <c r="W342" s="13">
        <f>(+'[43]Sep13loa'!$I$49)/1000</f>
        <v>5665.517</v>
      </c>
      <c r="X342" s="13">
        <f>(+'[43]Sep13loa'!$I$50)/1000</f>
        <v>374.367</v>
      </c>
      <c r="Y342" s="13">
        <f>(+'[43]Sep13loa'!$I$51)/1000</f>
        <v>6670.304</v>
      </c>
      <c r="Z342" s="49">
        <f>(+'[43]Sep13loa'!$J$53)/1000</f>
        <v>11538.427</v>
      </c>
      <c r="AA342" s="49">
        <f t="shared" si="34"/>
        <v>29667.371</v>
      </c>
      <c r="AB342" s="13">
        <f>(+'[43]Sep13loa'!$I$56)/1000</f>
        <v>7389.084</v>
      </c>
      <c r="AC342" s="13">
        <f>(+'[43]Sep13loa'!$I$57)/1000</f>
        <v>0.014</v>
      </c>
      <c r="AD342" s="13">
        <f>(+'[43]Sep13loa'!$I$58)/1000</f>
        <v>21657.767</v>
      </c>
      <c r="AE342" s="13">
        <f>(+'[43]Sep13loa'!$I$59)/1000</f>
        <v>620.506</v>
      </c>
      <c r="AF342" s="49">
        <f>(+'[43]Sep13loa'!$J$61)/1000</f>
        <v>43966.346</v>
      </c>
      <c r="AG342" s="49">
        <v>0</v>
      </c>
      <c r="AH342" s="49">
        <f>(+'[43]Sep13loa'!$J$63)/1000</f>
        <v>28350.649</v>
      </c>
      <c r="AI342" s="49">
        <f>(+'[43]Sep13loa'!$J$65)/1000</f>
        <v>2033.105</v>
      </c>
      <c r="AJ342" s="49">
        <f>(+'[43]Sep13loa'!$J$67)/1000</f>
        <v>20282.974</v>
      </c>
      <c r="AK342" s="49">
        <f>(+'[43]Sep13loa'!$J$73)/1000</f>
        <v>152266.451</v>
      </c>
      <c r="AL342" s="49">
        <f>(+'[43]Sep13loa'!$J$77)/1000</f>
        <v>9548.873</v>
      </c>
      <c r="AM342" s="14">
        <f t="shared" si="35"/>
        <v>355766.17000000004</v>
      </c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8"/>
      <c r="ED342" s="18"/>
      <c r="EE342" s="18"/>
      <c r="EF342" s="18"/>
      <c r="EG342" s="18"/>
      <c r="EH342" s="18"/>
      <c r="EI342" s="18"/>
      <c r="EJ342" s="18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</row>
    <row r="343" spans="1:159" s="19" customFormat="1" ht="15">
      <c r="A343" s="22">
        <v>41578</v>
      </c>
      <c r="B343" s="49">
        <f t="shared" si="30"/>
        <v>7752.590999999999</v>
      </c>
      <c r="C343" s="13">
        <f>(+'[44]Oct13loa'!$I$10)/1000</f>
        <v>6307.66</v>
      </c>
      <c r="D343" s="13">
        <f>(+'[44]Oct13loa'!$I$19)/1000</f>
        <v>1255.888</v>
      </c>
      <c r="E343" s="13">
        <f>(+'[44]Oct13loa'!$I$23)/1000</f>
        <v>189.043</v>
      </c>
      <c r="F343" s="49">
        <f>(+'[44]Oct13loa'!$J$25)/1000</f>
        <v>582.592</v>
      </c>
      <c r="G343" s="49">
        <f t="shared" si="31"/>
        <v>11039.005000000001</v>
      </c>
      <c r="H343" s="13">
        <f>(+'[44]Oct13loa'!$I$30)/1000</f>
        <v>755.811</v>
      </c>
      <c r="I343" s="13">
        <f>(+'[44]Oct13loa'!$I$31+'[44]Oct13loa'!$I$32)/1000</f>
        <v>4294.294</v>
      </c>
      <c r="J343" s="13">
        <f>(+'[44]Oct13loa'!$I$33)/1000</f>
        <v>245.154</v>
      </c>
      <c r="K343" s="13">
        <f>(+'[44]Oct13loa'!$I$34)/1000</f>
        <v>212.417</v>
      </c>
      <c r="L343" s="13">
        <f>(+'[44]Oct13loa'!$I$35)/1000</f>
        <v>537.276</v>
      </c>
      <c r="M343" s="13">
        <f>(+'[44]Oct13loa'!$I$36)/1000</f>
        <v>187.891</v>
      </c>
      <c r="N343" s="13">
        <f>(+'[44]Oct13loa'!$I$37)/1000</f>
        <v>1014.42</v>
      </c>
      <c r="O343" s="13">
        <f>(+'[44]Oct13loa'!$I$38)/1000</f>
        <v>696.295</v>
      </c>
      <c r="P343" s="13">
        <f>(+'[44]Oct13loa'!$I$39)/1000</f>
        <v>3095.447</v>
      </c>
      <c r="Q343" s="49">
        <f t="shared" si="32"/>
        <v>22872.031</v>
      </c>
      <c r="R343" s="13">
        <f>(+'[44]Oct13loa'!$I$42)/1000</f>
        <v>21418.111</v>
      </c>
      <c r="S343" s="13">
        <f>(+'[44]Oct13loa'!$I$43)/1000</f>
        <v>1161.05</v>
      </c>
      <c r="T343" s="13">
        <f>(+'[44]Oct13loa'!$I$44)/1000</f>
        <v>292.87</v>
      </c>
      <c r="U343" s="49">
        <f>(+'[44]Oct13loa'!$J$46)/1000</f>
        <v>2590.061</v>
      </c>
      <c r="V343" s="49">
        <f t="shared" si="33"/>
        <v>12803.970000000001</v>
      </c>
      <c r="W343" s="13">
        <f>(+'[44]Oct13loa'!$I$49)/1000</f>
        <v>5695.238</v>
      </c>
      <c r="X343" s="13">
        <f>(+'[44]Oct13loa'!$I$50)/1000</f>
        <v>369.725</v>
      </c>
      <c r="Y343" s="13">
        <f>(+'[44]Oct13loa'!$I$51)/1000</f>
        <v>6739.007</v>
      </c>
      <c r="Z343" s="49">
        <f>(+'[44]Oct13loa'!$J$53)/1000</f>
        <v>11319.658</v>
      </c>
      <c r="AA343" s="49">
        <f t="shared" si="34"/>
        <v>28116.837</v>
      </c>
      <c r="AB343" s="13">
        <f>(+'[44]Oct13loa'!$I$56)/1000</f>
        <v>7248.086</v>
      </c>
      <c r="AC343" s="13">
        <f>(+'[44]Oct13loa'!$I$57)/1000</f>
        <v>0.002</v>
      </c>
      <c r="AD343" s="13">
        <f>(+'[44]Oct13loa'!$I$58)/1000</f>
        <v>20298.339</v>
      </c>
      <c r="AE343" s="13">
        <f>(+'[44]Oct13loa'!$I$59)/1000</f>
        <v>570.41</v>
      </c>
      <c r="AF343" s="49">
        <f>(+'[44]Oct13loa'!$J$61)/1000</f>
        <v>44273.528</v>
      </c>
      <c r="AG343" s="49">
        <v>0</v>
      </c>
      <c r="AH343" s="49">
        <f>(+'[44]Oct13loa'!$J$63)/1000</f>
        <v>28770.365</v>
      </c>
      <c r="AI343" s="49">
        <f>(+'[44]Oct13loa'!$J$65)/1000</f>
        <v>2088.181</v>
      </c>
      <c r="AJ343" s="49">
        <f>(+'[44]Oct13loa'!$J$67)/1000</f>
        <v>20401.327</v>
      </c>
      <c r="AK343" s="49">
        <f>(+'[44]Oct13loa'!$J$73)/1000</f>
        <v>153219.906</v>
      </c>
      <c r="AL343" s="49">
        <f>(+'[44]Oct13loa'!$J$77)/1000</f>
        <v>9564.119</v>
      </c>
      <c r="AM343" s="14">
        <f t="shared" si="35"/>
        <v>355394.171</v>
      </c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8"/>
      <c r="ED343" s="18"/>
      <c r="EE343" s="18"/>
      <c r="EF343" s="18"/>
      <c r="EG343" s="18"/>
      <c r="EH343" s="18"/>
      <c r="EI343" s="18"/>
      <c r="EJ343" s="18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</row>
    <row r="344" spans="1:159" s="19" customFormat="1" ht="15">
      <c r="A344" s="22">
        <v>41608</v>
      </c>
      <c r="B344" s="49">
        <f t="shared" si="30"/>
        <v>7955.11</v>
      </c>
      <c r="C344" s="13">
        <f>(+'[45]Nov13loa'!$I$10)/1000</f>
        <v>6511.773</v>
      </c>
      <c r="D344" s="13">
        <f>(+'[45]Nov13loa'!$I$19)/1000</f>
        <v>1260.244</v>
      </c>
      <c r="E344" s="13">
        <f>(+'[45]Nov13loa'!$I$23)/1000</f>
        <v>183.093</v>
      </c>
      <c r="F344" s="49">
        <f>(+'[45]Nov13loa'!$J$25)/1000</f>
        <v>751.769</v>
      </c>
      <c r="G344" s="49">
        <f t="shared" si="31"/>
        <v>11151.814999999999</v>
      </c>
      <c r="H344" s="13">
        <f>(+'[45]Nov13loa'!$I$30)/1000</f>
        <v>755.389</v>
      </c>
      <c r="I344" s="13">
        <f>(+'[45]Nov13loa'!$I$31+'[45]Nov13loa'!$I$32)/1000</f>
        <v>4449.921</v>
      </c>
      <c r="J344" s="13">
        <f>(+'[45]Nov13loa'!$I$33)/1000</f>
        <v>247.036</v>
      </c>
      <c r="K344" s="13">
        <f>(+'[45]Nov13loa'!$I$34)/1000</f>
        <v>219.748</v>
      </c>
      <c r="L344" s="13">
        <f>(+'[45]Nov13loa'!$I$35)/1000</f>
        <v>531.958</v>
      </c>
      <c r="M344" s="13">
        <f>(+'[45]Nov13loa'!$I$36)/1000</f>
        <v>189.178</v>
      </c>
      <c r="N344" s="13">
        <f>(+'[45]Nov13loa'!$I$37)/1000</f>
        <v>986.227</v>
      </c>
      <c r="O344" s="13">
        <f>(+'[45]Nov13loa'!$I$38)/1000</f>
        <v>674.119</v>
      </c>
      <c r="P344" s="13">
        <f>(+'[45]Nov13loa'!$I$39)/1000</f>
        <v>3098.239</v>
      </c>
      <c r="Q344" s="49">
        <f t="shared" si="32"/>
        <v>23223.226</v>
      </c>
      <c r="R344" s="13">
        <f>(+'[45]Nov13loa'!$I$42)/1000</f>
        <v>21811.684</v>
      </c>
      <c r="S344" s="13">
        <f>(+'[45]Nov13loa'!$I$43)/1000</f>
        <v>1159.21</v>
      </c>
      <c r="T344" s="13">
        <f>(+'[45]Nov13loa'!$I$44)/1000</f>
        <v>252.332</v>
      </c>
      <c r="U344" s="49">
        <f>(+'[45]Nov13loa'!$J$46)/1000</f>
        <v>2813.016</v>
      </c>
      <c r="V344" s="49">
        <f t="shared" si="33"/>
        <v>12836.041000000001</v>
      </c>
      <c r="W344" s="13">
        <f>(+'[45]Nov13loa'!$I$49)/1000</f>
        <v>5746.96</v>
      </c>
      <c r="X344" s="13">
        <f>(+'[45]Nov13loa'!$I$50)/1000</f>
        <v>350.687</v>
      </c>
      <c r="Y344" s="13">
        <f>(+'[45]Nov13loa'!$I$51)/1000</f>
        <v>6738.394</v>
      </c>
      <c r="Z344" s="49">
        <f>(+'[45]Nov13loa'!$J$53)/1000</f>
        <v>11678.574</v>
      </c>
      <c r="AA344" s="49">
        <f t="shared" si="34"/>
        <v>29485.852</v>
      </c>
      <c r="AB344" s="13">
        <f>(+'[45]Nov13loa'!$I$56)/1000</f>
        <v>7272.494</v>
      </c>
      <c r="AC344" s="13">
        <f>(+'[45]Nov13loa'!$I$57)/1000</f>
        <v>0.243</v>
      </c>
      <c r="AD344" s="13">
        <f>(+'[45]Nov13loa'!$I$58)/1000</f>
        <v>21650.444</v>
      </c>
      <c r="AE344" s="13">
        <f>(+'[45]Nov13loa'!$I$59)/1000</f>
        <v>562.671</v>
      </c>
      <c r="AF344" s="49">
        <f>(+'[45]Nov13loa'!$J$61)/1000</f>
        <v>44471.322</v>
      </c>
      <c r="AG344" s="49">
        <v>0</v>
      </c>
      <c r="AH344" s="49">
        <f>(+'[45]Nov13loa'!$J$63)/1000</f>
        <v>28905.617</v>
      </c>
      <c r="AI344" s="49">
        <f>(+'[45]Nov13loa'!$J$65)/1000</f>
        <v>2059.571</v>
      </c>
      <c r="AJ344" s="49">
        <f>(+'[45]Nov13loa'!$J$67)/1000</f>
        <v>20776.24</v>
      </c>
      <c r="AK344" s="49">
        <f>(+'[45]Nov13loa'!$J$73)/1000</f>
        <v>154387.713</v>
      </c>
      <c r="AL344" s="49">
        <f>(+'[45]Nov13loa'!$J$77)/1000</f>
        <v>11056.62</v>
      </c>
      <c r="AM344" s="14">
        <f t="shared" si="35"/>
        <v>361552.486</v>
      </c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8"/>
      <c r="ED344" s="18"/>
      <c r="EE344" s="18"/>
      <c r="EF344" s="18"/>
      <c r="EG344" s="18"/>
      <c r="EH344" s="18"/>
      <c r="EI344" s="18"/>
      <c r="EJ344" s="18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</row>
    <row r="345" spans="1:159" s="19" customFormat="1" ht="15">
      <c r="A345" s="22">
        <v>41639</v>
      </c>
      <c r="B345" s="49">
        <f t="shared" si="30"/>
        <v>7733.771</v>
      </c>
      <c r="C345" s="13">
        <f>(+'[46]Dec13loa'!$I$10)/1000</f>
        <v>6306.724</v>
      </c>
      <c r="D345" s="13">
        <f>(+'[46]Dec13loa'!$I$19)/1000</f>
        <v>1248.785</v>
      </c>
      <c r="E345" s="13">
        <f>(+'[46]Dec13loa'!$I$23)/1000</f>
        <v>178.262</v>
      </c>
      <c r="F345" s="49">
        <f>(+'[46]Dec13loa'!$J$25)/1000</f>
        <v>747.665</v>
      </c>
      <c r="G345" s="49">
        <f t="shared" si="31"/>
        <v>12608.843</v>
      </c>
      <c r="H345" s="13">
        <f>(+'[46]Dec13loa'!$I$30)/1000</f>
        <v>752.464</v>
      </c>
      <c r="I345" s="13">
        <f>(+'[46]Dec13loa'!$I$31+'[46]Dec13loa'!$I$32)/1000</f>
        <v>5380.108</v>
      </c>
      <c r="J345" s="13">
        <f>(+'[46]Dec13loa'!$I$33)/1000</f>
        <v>267.076</v>
      </c>
      <c r="K345" s="13">
        <f>(+'[46]Dec13loa'!$I$34)/1000</f>
        <v>192.755</v>
      </c>
      <c r="L345" s="13">
        <f>(+'[46]Dec13loa'!$I$35)/1000</f>
        <v>529.578</v>
      </c>
      <c r="M345" s="13">
        <f>(+'[46]Dec13loa'!$I$36)/1000</f>
        <v>214.53</v>
      </c>
      <c r="N345" s="13">
        <f>(+'[46]Dec13loa'!$I$37)/1000</f>
        <v>941.606</v>
      </c>
      <c r="O345" s="13">
        <f>(+'[46]Dec13loa'!$I$38)/1000</f>
        <v>647.356</v>
      </c>
      <c r="P345" s="13">
        <f>(+'[46]Dec13loa'!$I$39)/1000</f>
        <v>3683.37</v>
      </c>
      <c r="Q345" s="49">
        <f t="shared" si="32"/>
        <v>23217.877</v>
      </c>
      <c r="R345" s="13">
        <f>(+'[46]Dec13loa'!$I$42)/1000</f>
        <v>21822.377</v>
      </c>
      <c r="S345" s="13">
        <f>(+'[46]Dec13loa'!$I$43)/1000</f>
        <v>1145.622</v>
      </c>
      <c r="T345" s="13">
        <f>(+'[46]Dec13loa'!$I$44)/1000</f>
        <v>249.878</v>
      </c>
      <c r="U345" s="49">
        <f>(+'[46]Dec13loa'!$J$46)/1000</f>
        <v>3090.795</v>
      </c>
      <c r="V345" s="49">
        <f t="shared" si="33"/>
        <v>13338.251</v>
      </c>
      <c r="W345" s="13">
        <f>(+'[46]Dec13loa'!$I$49)/1000</f>
        <v>6221.83</v>
      </c>
      <c r="X345" s="13">
        <f>(+'[46]Dec13loa'!$I$50)/1000</f>
        <v>347.563</v>
      </c>
      <c r="Y345" s="13">
        <f>(+'[46]Dec13loa'!$I$51)/1000</f>
        <v>6768.858</v>
      </c>
      <c r="Z345" s="49">
        <f>(+'[46]Dec13loa'!$J$53)/1000</f>
        <v>12015.418</v>
      </c>
      <c r="AA345" s="49">
        <f t="shared" si="34"/>
        <v>28035.652000000002</v>
      </c>
      <c r="AB345" s="13">
        <f>(+'[46]Dec13loa'!$I$56)/1000</f>
        <v>7067.298</v>
      </c>
      <c r="AC345" s="13">
        <f>(+'[46]Dec13loa'!$I$57)/1000</f>
        <v>0.006</v>
      </c>
      <c r="AD345" s="13">
        <f>(+'[46]Dec13loa'!$I$58)/1000</f>
        <v>20495.732</v>
      </c>
      <c r="AE345" s="13">
        <f>(+'[46]Dec13loa'!$I$59)/1000</f>
        <v>472.616</v>
      </c>
      <c r="AF345" s="49">
        <f>(+'[46]Dec13loa'!$J$61)/1000</f>
        <v>43966.842</v>
      </c>
      <c r="AG345" s="49">
        <v>0</v>
      </c>
      <c r="AH345" s="49">
        <f>(+'[46]Dec13loa'!$J$63)/1000</f>
        <v>27535.107</v>
      </c>
      <c r="AI345" s="49">
        <f>(+'[46]Dec13loa'!$J$65)/1000</f>
        <v>2045.651</v>
      </c>
      <c r="AJ345" s="49">
        <f>(+'[46]Dec13loa'!$J$67)/1000</f>
        <v>20410.044</v>
      </c>
      <c r="AK345" s="49">
        <f>(+'[46]Dec13loa'!$J$73)/1000</f>
        <v>156312.678</v>
      </c>
      <c r="AL345" s="49">
        <f>(+'[46]Dec13loa'!$J$77)/1000</f>
        <v>11058.328</v>
      </c>
      <c r="AM345" s="14">
        <f t="shared" si="35"/>
        <v>362116.922</v>
      </c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8"/>
      <c r="ED345" s="18"/>
      <c r="EE345" s="18"/>
      <c r="EF345" s="18"/>
      <c r="EG345" s="18"/>
      <c r="EH345" s="18"/>
      <c r="EI345" s="18"/>
      <c r="EJ345" s="18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</row>
    <row r="346" spans="1:159" s="19" customFormat="1" ht="15">
      <c r="A346" s="22">
        <v>41670</v>
      </c>
      <c r="B346" s="49">
        <f t="shared" si="30"/>
        <v>7444.402999999999</v>
      </c>
      <c r="C346" s="13">
        <f>(+'[47]Jan14loa'!$I$10)/1000</f>
        <v>5903.817</v>
      </c>
      <c r="D346" s="13">
        <f>(+'[47]Jan14loa'!$I$19)/1000</f>
        <v>1062.324</v>
      </c>
      <c r="E346" s="13">
        <f>(+'[47]Jan14loa'!$I$23)/1000</f>
        <v>478.262</v>
      </c>
      <c r="F346" s="49">
        <f>(+'[47]Jan14loa'!$J$25)/1000</f>
        <v>669.189</v>
      </c>
      <c r="G346" s="49">
        <f t="shared" si="31"/>
        <v>13025.903</v>
      </c>
      <c r="H346" s="13">
        <f>(+'[47]Jan14loa'!$I$30)/1000</f>
        <v>987.6</v>
      </c>
      <c r="I346" s="13">
        <f>(+'[47]Jan14loa'!$I$31+'[47]Jan14loa'!$I$32)/1000</f>
        <v>5332.109</v>
      </c>
      <c r="J346" s="13">
        <f>(+'[47]Jan14loa'!$I$33)/1000</f>
        <v>254.285</v>
      </c>
      <c r="K346" s="13">
        <f>(+'[47]Jan14loa'!$I$34)/1000</f>
        <v>193.399</v>
      </c>
      <c r="L346" s="13">
        <f>(+'[47]Jan14loa'!$I$35)/1000</f>
        <v>528.692</v>
      </c>
      <c r="M346" s="13">
        <f>(+'[47]Jan14loa'!$I$36)/1000</f>
        <v>204.629</v>
      </c>
      <c r="N346" s="13">
        <f>(+'[47]Jan14loa'!$I$37)/1000</f>
        <v>902.75</v>
      </c>
      <c r="O346" s="13">
        <f>(+'[47]Jan14loa'!$I$38)/1000</f>
        <v>655.485</v>
      </c>
      <c r="P346" s="13">
        <f>(+'[47]Jan14loa'!$I$39)/1000</f>
        <v>3966.954</v>
      </c>
      <c r="Q346" s="49">
        <f t="shared" si="32"/>
        <v>22864.324</v>
      </c>
      <c r="R346" s="13">
        <f>(+'[47]Jan14loa'!$I$42)/1000</f>
        <v>21454.928</v>
      </c>
      <c r="S346" s="13">
        <f>(+'[47]Jan14loa'!$I$43)/1000</f>
        <v>1161.27</v>
      </c>
      <c r="T346" s="13">
        <f>(+'[47]Jan14loa'!$I$44)/1000</f>
        <v>248.126</v>
      </c>
      <c r="U346" s="49">
        <f>(+'[47]Jan14loa'!$J$46)/1000</f>
        <v>2977.53</v>
      </c>
      <c r="V346" s="49">
        <f t="shared" si="33"/>
        <v>13675.716</v>
      </c>
      <c r="W346" s="13">
        <f>(+'[47]Jan14loa'!$I$49)/1000</f>
        <v>6604.373</v>
      </c>
      <c r="X346" s="13">
        <f>(+'[47]Jan14loa'!$I$50)/1000</f>
        <v>338.021</v>
      </c>
      <c r="Y346" s="13">
        <f>(+'[47]Jan14loa'!$I$51)/1000</f>
        <v>6733.322</v>
      </c>
      <c r="Z346" s="49">
        <f>(+'[47]Jan14loa'!$J$53)/1000</f>
        <v>9857.941</v>
      </c>
      <c r="AA346" s="49">
        <f t="shared" si="34"/>
        <v>26043.341</v>
      </c>
      <c r="AB346" s="13">
        <f>(+'[47]Jan14loa'!$I$56)/1000</f>
        <v>3689.407</v>
      </c>
      <c r="AC346" s="13">
        <f>(+'[47]Jan14loa'!$I$57)/1000</f>
        <v>0.011</v>
      </c>
      <c r="AD346" s="13">
        <f>(+'[47]Jan14loa'!$I$58)/1000</f>
        <v>21750.638</v>
      </c>
      <c r="AE346" s="13">
        <f>(+'[47]Jan14loa'!$I$59)/1000</f>
        <v>603.285</v>
      </c>
      <c r="AF346" s="49">
        <f>(+'[47]Jan14loa'!$J$61)/1000</f>
        <v>44108.662</v>
      </c>
      <c r="AG346" s="49">
        <v>0</v>
      </c>
      <c r="AH346" s="49">
        <f>(+'[47]Jan14loa'!$J$63)/1000</f>
        <v>27585.691</v>
      </c>
      <c r="AI346" s="49">
        <f>(+'[47]Jan14loa'!$J$65)/1000</f>
        <v>2037.408</v>
      </c>
      <c r="AJ346" s="49">
        <f>(+'[47]Jan14loa'!$J$67)/1000</f>
        <v>20416.658</v>
      </c>
      <c r="AK346" s="49">
        <f>(+'[47]Jan14loa'!$J$73)/1000</f>
        <v>156071.711</v>
      </c>
      <c r="AL346" s="49">
        <f>(+'[47]Jan14loa'!$J$77)/1000</f>
        <v>12161.249</v>
      </c>
      <c r="AM346" s="14">
        <f t="shared" si="35"/>
        <v>358939.726</v>
      </c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8"/>
      <c r="ED346" s="18"/>
      <c r="EE346" s="18"/>
      <c r="EF346" s="18"/>
      <c r="EG346" s="18"/>
      <c r="EH346" s="18"/>
      <c r="EI346" s="18"/>
      <c r="EJ346" s="18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</row>
    <row r="347" spans="1:159" s="19" customFormat="1" ht="15">
      <c r="A347" s="22">
        <v>41698</v>
      </c>
      <c r="B347" s="49">
        <f t="shared" si="30"/>
        <v>7274.709</v>
      </c>
      <c r="C347" s="13">
        <f>(+'[48]Feb14loa'!$I$10)/1000</f>
        <v>5763.371</v>
      </c>
      <c r="D347" s="13">
        <f>(+'[48]Feb14loa'!$I$19)/1000</f>
        <v>1033.566</v>
      </c>
      <c r="E347" s="13">
        <f>(+'[48]Feb14loa'!$I$23)/1000</f>
        <v>477.772</v>
      </c>
      <c r="F347" s="49">
        <f>(+'[48]Feb14loa'!$J$25)/1000</f>
        <v>704.79</v>
      </c>
      <c r="G347" s="49">
        <f t="shared" si="31"/>
        <v>12992.233999999999</v>
      </c>
      <c r="H347" s="13">
        <f>(+'[48]Feb14loa'!$I$30)/1000</f>
        <v>1069.11</v>
      </c>
      <c r="I347" s="13">
        <f>(+'[48]Feb14loa'!$I$31+'[48]Feb14loa'!$I$32)/1000</f>
        <v>5250.618</v>
      </c>
      <c r="J347" s="13">
        <f>(+'[48]Feb14loa'!$I$33)/1000</f>
        <v>258.922</v>
      </c>
      <c r="K347" s="13">
        <f>(+'[48]Feb14loa'!$I$34)/1000</f>
        <v>187.893</v>
      </c>
      <c r="L347" s="13">
        <f>(+'[48]Feb14loa'!$I$35)/1000</f>
        <v>501.575</v>
      </c>
      <c r="M347" s="13">
        <f>(+'[48]Feb14loa'!$I$36)/1000</f>
        <v>219.198</v>
      </c>
      <c r="N347" s="13">
        <f>(+'[48]Feb14loa'!$I$37)/1000</f>
        <v>921.099</v>
      </c>
      <c r="O347" s="13">
        <f>(+'[48]Feb14loa'!$I$38)/1000</f>
        <v>612.586</v>
      </c>
      <c r="P347" s="13">
        <f>(+'[48]Feb14loa'!$I$39)/1000</f>
        <v>3971.233</v>
      </c>
      <c r="Q347" s="49">
        <f t="shared" si="32"/>
        <v>23066.351</v>
      </c>
      <c r="R347" s="13">
        <f>(+'[48]Feb14loa'!$I$42)/1000</f>
        <v>21625.391</v>
      </c>
      <c r="S347" s="13">
        <f>(+'[48]Feb14loa'!$I$43)/1000</f>
        <v>1197.532</v>
      </c>
      <c r="T347" s="13">
        <f>(+'[48]Feb14loa'!$I$44)/1000</f>
        <v>243.428</v>
      </c>
      <c r="U347" s="49">
        <f>(+'[48]Feb14loa'!$J$46)/1000</f>
        <v>2995.86</v>
      </c>
      <c r="V347" s="49">
        <f t="shared" si="33"/>
        <v>14210.784</v>
      </c>
      <c r="W347" s="13">
        <f>(+'[48]Feb14loa'!$I$49)/1000</f>
        <v>6822.413</v>
      </c>
      <c r="X347" s="13">
        <f>(+'[48]Feb14loa'!$I$50)/1000</f>
        <v>331.064</v>
      </c>
      <c r="Y347" s="13">
        <f>(+'[48]Feb14loa'!$I$51)/1000</f>
        <v>7057.307</v>
      </c>
      <c r="Z347" s="49">
        <f>(+'[48]Feb14loa'!$J$53)/1000</f>
        <v>10980.172</v>
      </c>
      <c r="AA347" s="49">
        <f t="shared" si="34"/>
        <v>27698.695999999996</v>
      </c>
      <c r="AB347" s="13">
        <f>(+'[48]Feb14loa'!$I$56)/1000</f>
        <v>3727.323</v>
      </c>
      <c r="AC347" s="13">
        <f>(+'[48]Feb14loa'!$I$57)/1000</f>
        <v>0.006</v>
      </c>
      <c r="AD347" s="13">
        <f>(+'[48]Feb14loa'!$I$58)/1000</f>
        <v>23316.138</v>
      </c>
      <c r="AE347" s="13">
        <f>(+'[48]Feb14loa'!$I$59)/1000</f>
        <v>655.229</v>
      </c>
      <c r="AF347" s="49">
        <f>(+'[48]Feb14loa'!$J$61)/1000</f>
        <v>44405.658</v>
      </c>
      <c r="AG347" s="49">
        <v>0</v>
      </c>
      <c r="AH347" s="49">
        <f>(+'[48]Feb14loa'!$J$63)/1000</f>
        <v>27438.168</v>
      </c>
      <c r="AI347" s="49">
        <f>(+'[48]Feb14loa'!$J$65)/1000</f>
        <v>2041.407</v>
      </c>
      <c r="AJ347" s="49">
        <f>(+'[48]Feb14loa'!$J$67)/1000</f>
        <v>20683.424</v>
      </c>
      <c r="AK347" s="49">
        <f>(+'[48]Feb14loa'!$J$73)/1000</f>
        <v>157769.541</v>
      </c>
      <c r="AL347" s="49">
        <f>(+'[48]Feb14loa'!$J$77)/1000</f>
        <v>12254.227</v>
      </c>
      <c r="AM347" s="14">
        <f t="shared" si="35"/>
        <v>364516.021</v>
      </c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8"/>
      <c r="ED347" s="18"/>
      <c r="EE347" s="18"/>
      <c r="EF347" s="18"/>
      <c r="EG347" s="18"/>
      <c r="EH347" s="18"/>
      <c r="EI347" s="18"/>
      <c r="EJ347" s="18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</row>
    <row r="348" spans="1:159" s="19" customFormat="1" ht="15">
      <c r="A348" s="22">
        <v>41729</v>
      </c>
      <c r="B348" s="49">
        <f t="shared" si="30"/>
        <v>7344.594999999999</v>
      </c>
      <c r="C348" s="13">
        <f>(+'[49]Mar14loa'!$I$10)/1000</f>
        <v>5705.605</v>
      </c>
      <c r="D348" s="13">
        <f>(+'[49]Mar14loa'!$I$19)/1000</f>
        <v>1168.697</v>
      </c>
      <c r="E348" s="13">
        <f>(+'[49]Mar14loa'!$I$23)/1000</f>
        <v>470.293</v>
      </c>
      <c r="F348" s="49">
        <f>(+'[49]Mar14loa'!$J$25)/1000</f>
        <v>704.846</v>
      </c>
      <c r="G348" s="49">
        <f t="shared" si="31"/>
        <v>13284.279999999999</v>
      </c>
      <c r="H348" s="13">
        <f>(+'[49]Mar14loa'!$I$30)/1000</f>
        <v>1012.345</v>
      </c>
      <c r="I348" s="13">
        <f>(+'[49]Mar14loa'!$I$31+'[49]Mar14loa'!$I$32)/1000</f>
        <v>5687.98</v>
      </c>
      <c r="J348" s="13">
        <f>(+'[49]Mar14loa'!$I$33)/1000</f>
        <v>260.288</v>
      </c>
      <c r="K348" s="13">
        <f>(+'[49]Mar14loa'!$I$34)/1000</f>
        <v>177.768</v>
      </c>
      <c r="L348" s="13">
        <f>(+'[49]Mar14loa'!$I$35)/1000</f>
        <v>570.624</v>
      </c>
      <c r="M348" s="13">
        <f>(+'[49]Mar14loa'!$I$36)/1000</f>
        <v>203.208</v>
      </c>
      <c r="N348" s="13">
        <f>(+'[49]Mar14loa'!$I$37)/1000</f>
        <v>880.906</v>
      </c>
      <c r="O348" s="13">
        <f>(+'[49]Mar14loa'!$I$38)/1000</f>
        <v>615.818</v>
      </c>
      <c r="P348" s="13">
        <f>(+'[49]Mar14loa'!$I$39)/1000</f>
        <v>3875.343</v>
      </c>
      <c r="Q348" s="49">
        <f t="shared" si="32"/>
        <v>23056.681</v>
      </c>
      <c r="R348" s="13">
        <f>(+'[49]Mar14loa'!$I$42)/1000</f>
        <v>21620.166</v>
      </c>
      <c r="S348" s="13">
        <f>(+'[49]Mar14loa'!$I$43)/1000</f>
        <v>1195.447</v>
      </c>
      <c r="T348" s="13">
        <f>(+'[49]Mar14loa'!$I$44)/1000</f>
        <v>241.068</v>
      </c>
      <c r="U348" s="49">
        <f>(+'[49]Mar14loa'!$J$46)/1000</f>
        <v>3054.038</v>
      </c>
      <c r="V348" s="49">
        <f t="shared" si="33"/>
        <v>14241.766</v>
      </c>
      <c r="W348" s="13">
        <f>(+'[49]Mar14loa'!$I$49)/1000</f>
        <v>6674.821</v>
      </c>
      <c r="X348" s="13">
        <f>(+'[49]Mar14loa'!$I$50)/1000</f>
        <v>322.751</v>
      </c>
      <c r="Y348" s="13">
        <f>(+'[49]Mar14loa'!$I$51)/1000</f>
        <v>7244.194</v>
      </c>
      <c r="Z348" s="49">
        <f>(+'[49]Mar14loa'!$J$53)/1000</f>
        <v>10767.136</v>
      </c>
      <c r="AA348" s="49">
        <f t="shared" si="34"/>
        <v>24827.742</v>
      </c>
      <c r="AB348" s="13">
        <f>(+'[49]Mar14loa'!$I$56)/1000</f>
        <v>4156.097</v>
      </c>
      <c r="AC348" s="13">
        <f>(+'[49]Mar14loa'!$I$57)/1000</f>
        <v>0.008</v>
      </c>
      <c r="AD348" s="13">
        <f>(+'[49]Mar14loa'!$I$58)/1000</f>
        <v>20035.766</v>
      </c>
      <c r="AE348" s="13">
        <f>(+'[49]Mar14loa'!$I$59)/1000</f>
        <v>635.871</v>
      </c>
      <c r="AF348" s="49">
        <f>(+'[49]Mar14loa'!$J$61)/1000</f>
        <v>44031.477</v>
      </c>
      <c r="AG348" s="49">
        <v>0</v>
      </c>
      <c r="AH348" s="49">
        <f>(+'[49]Mar14loa'!$J$63)/1000</f>
        <v>27011.409</v>
      </c>
      <c r="AI348" s="49">
        <f>(+'[49]Mar14loa'!$J$65)/1000</f>
        <v>2247.406</v>
      </c>
      <c r="AJ348" s="49">
        <f>(+'[49]Mar14loa'!$J$67)/1000</f>
        <v>20496.816</v>
      </c>
      <c r="AK348" s="49">
        <f>(+'[49]Mar14loa'!$J$73)/1000</f>
        <v>158388.01</v>
      </c>
      <c r="AL348" s="49">
        <f>(+'[49]Mar14loa'!$J$77)/1000</f>
        <v>12456.8</v>
      </c>
      <c r="AM348" s="14">
        <f t="shared" si="35"/>
        <v>361913.0019999999</v>
      </c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8"/>
      <c r="ED348" s="18"/>
      <c r="EE348" s="18"/>
      <c r="EF348" s="18"/>
      <c r="EG348" s="18"/>
      <c r="EH348" s="18"/>
      <c r="EI348" s="18"/>
      <c r="EJ348" s="18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</row>
    <row r="349" spans="1:159" s="19" customFormat="1" ht="15">
      <c r="A349" s="22">
        <v>41759</v>
      </c>
      <c r="B349" s="49">
        <f t="shared" si="30"/>
        <v>8615.185</v>
      </c>
      <c r="C349" s="13">
        <f>(+'[50]Apr14loa'!$I$10)/1000</f>
        <v>6583.518</v>
      </c>
      <c r="D349" s="13">
        <f>(+'[50]Apr14loa'!$I$19)/1000</f>
        <v>1566.205</v>
      </c>
      <c r="E349" s="13">
        <f>(+'[50]Apr14loa'!$I$23)/1000</f>
        <v>465.462</v>
      </c>
      <c r="F349" s="49">
        <f>(+'[50]Apr14loa'!$J$25)/1000</f>
        <v>693.816</v>
      </c>
      <c r="G349" s="49">
        <f t="shared" si="31"/>
        <v>12463.520999999999</v>
      </c>
      <c r="H349" s="13">
        <f>(+'[50]Apr14loa'!$I$30)/1000</f>
        <v>17.873</v>
      </c>
      <c r="I349" s="13">
        <f>(+'[50]Apr14loa'!$I$31+'[50]Apr14loa'!$I$32)/1000</f>
        <v>5516.797</v>
      </c>
      <c r="J349" s="13">
        <f>(+'[50]Apr14loa'!$I$33)/1000</f>
        <v>249.37</v>
      </c>
      <c r="K349" s="13">
        <f>(+'[50]Apr14loa'!$I$34)/1000</f>
        <v>232.254</v>
      </c>
      <c r="L349" s="13">
        <f>(+'[50]Apr14loa'!$I$35)/1000</f>
        <v>604.499</v>
      </c>
      <c r="M349" s="13">
        <f>(+'[50]Apr14loa'!$I$36)/1000</f>
        <v>311.011</v>
      </c>
      <c r="N349" s="13">
        <f>(+'[50]Apr14loa'!$I$37)/1000</f>
        <v>918.776</v>
      </c>
      <c r="O349" s="13">
        <f>(+'[50]Apr14loa'!$I$38)/1000</f>
        <v>614.096</v>
      </c>
      <c r="P349" s="13">
        <f>(+'[50]Apr14loa'!$I$39)/1000</f>
        <v>3998.845</v>
      </c>
      <c r="Q349" s="49">
        <f t="shared" si="32"/>
        <v>23979.064</v>
      </c>
      <c r="R349" s="13">
        <f>(+'[50]Apr14loa'!$I$42)/1000</f>
        <v>22567.823</v>
      </c>
      <c r="S349" s="13">
        <f>(+'[50]Apr14loa'!$I$43)/1000</f>
        <v>1164.35</v>
      </c>
      <c r="T349" s="13">
        <f>(+'[50]Apr14loa'!$I$44)/1000</f>
        <v>246.891</v>
      </c>
      <c r="U349" s="49">
        <f>(+'[50]Apr14loa'!$J$46)/1000</f>
        <v>3130.309</v>
      </c>
      <c r="V349" s="49">
        <f t="shared" si="33"/>
        <v>13956.859</v>
      </c>
      <c r="W349" s="13">
        <f>(+'[50]Apr14loa'!$I$49)/1000</f>
        <v>6371.938</v>
      </c>
      <c r="X349" s="13">
        <f>(+'[50]Apr14loa'!$I$50)/1000</f>
        <v>307.688</v>
      </c>
      <c r="Y349" s="13">
        <f>(+'[50]Apr14loa'!$I$51)/1000</f>
        <v>7277.233</v>
      </c>
      <c r="Z349" s="49">
        <f>(+'[50]Apr14loa'!$J$53)/1000</f>
        <v>9241.205</v>
      </c>
      <c r="AA349" s="49">
        <f t="shared" si="34"/>
        <v>26710.325</v>
      </c>
      <c r="AB349" s="13">
        <f>(+'[50]Apr14loa'!$I$56)/1000</f>
        <v>3827.137</v>
      </c>
      <c r="AC349" s="13">
        <f>(+'[50]Apr14loa'!$I$57)/1000</f>
        <v>0.008</v>
      </c>
      <c r="AD349" s="13">
        <f>(+'[50]Apr14loa'!$I$58)/1000</f>
        <v>22251.752</v>
      </c>
      <c r="AE349" s="13">
        <f>(+'[50]Apr14loa'!$I$59)/1000</f>
        <v>631.428</v>
      </c>
      <c r="AF349" s="49">
        <f>(+'[50]Apr14loa'!$J$61)/1000</f>
        <v>46469.936</v>
      </c>
      <c r="AG349" s="49">
        <v>0</v>
      </c>
      <c r="AH349" s="49">
        <f>(+'[50]Apr14loa'!$J$63)/1000</f>
        <v>26588.741</v>
      </c>
      <c r="AI349" s="49">
        <f>(+'[50]Apr14loa'!$J$65)/1000</f>
        <v>2502.233</v>
      </c>
      <c r="AJ349" s="49">
        <f>(+'[50]Apr14loa'!$J$67)/1000</f>
        <v>19016.914</v>
      </c>
      <c r="AK349" s="49">
        <f>(+'[50]Apr14loa'!$J$73)/1000</f>
        <v>157298.642</v>
      </c>
      <c r="AL349" s="49">
        <f>(+'[50]Apr14loa'!$J$77)/1000</f>
        <v>11847.509</v>
      </c>
      <c r="AM349" s="14">
        <f t="shared" si="35"/>
        <v>362514.259</v>
      </c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8"/>
      <c r="ED349" s="18"/>
      <c r="EE349" s="18"/>
      <c r="EF349" s="18"/>
      <c r="EG349" s="18"/>
      <c r="EH349" s="18"/>
      <c r="EI349" s="18"/>
      <c r="EJ349" s="18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</row>
    <row r="350" spans="1:159" s="19" customFormat="1" ht="15">
      <c r="A350" s="22">
        <v>41790</v>
      </c>
      <c r="B350" s="49">
        <f t="shared" si="30"/>
        <v>8946.479000000001</v>
      </c>
      <c r="C350" s="13">
        <f>(+'[51]May14loa'!$I$10)/1000</f>
        <v>7090.564</v>
      </c>
      <c r="D350" s="13">
        <f>(+'[51]May14loa'!$I$19)/1000</f>
        <v>1400.021</v>
      </c>
      <c r="E350" s="13">
        <f>(+'[51]May14loa'!$I$23)/1000</f>
        <v>455.894</v>
      </c>
      <c r="F350" s="49">
        <f>(+'[51]May14loa'!$J$25)/1000</f>
        <v>680.477</v>
      </c>
      <c r="G350" s="49">
        <f t="shared" si="31"/>
        <v>12940.571</v>
      </c>
      <c r="H350" s="13">
        <f>(+'[51]May14loa'!$I$30)/1000</f>
        <v>511.807</v>
      </c>
      <c r="I350" s="13">
        <f>(+'[51]May14loa'!$I$31+'[51]May14loa'!$I$32)/1000</f>
        <v>5430.064</v>
      </c>
      <c r="J350" s="13">
        <f>(+'[51]May14loa'!$I$33)/1000</f>
        <v>248.02</v>
      </c>
      <c r="K350" s="13">
        <f>(+'[51]May14loa'!$I$34)/1000</f>
        <v>213.494</v>
      </c>
      <c r="L350" s="13">
        <f>(+'[51]May14loa'!$I$35)/1000</f>
        <v>595.278</v>
      </c>
      <c r="M350" s="13">
        <f>(+'[51]May14loa'!$I$36)/1000</f>
        <v>315.273</v>
      </c>
      <c r="N350" s="13">
        <f>(+'[51]May14loa'!$I$37)/1000</f>
        <v>905.997</v>
      </c>
      <c r="O350" s="13">
        <f>(+'[51]May14loa'!$I$38)/1000</f>
        <v>568.812</v>
      </c>
      <c r="P350" s="13">
        <f>(+'[51]May14loa'!$I$39)/1000</f>
        <v>4151.826</v>
      </c>
      <c r="Q350" s="49">
        <f t="shared" si="32"/>
        <v>24417.485999999997</v>
      </c>
      <c r="R350" s="13">
        <f>(+'[51]May14loa'!$I$42)/1000</f>
        <v>23002.672</v>
      </c>
      <c r="S350" s="13">
        <f>(+'[51]May14loa'!$I$43)/1000</f>
        <v>1169.891</v>
      </c>
      <c r="T350" s="13">
        <f>(+'[51]May14loa'!$I$44)/1000</f>
        <v>244.923</v>
      </c>
      <c r="U350" s="49">
        <f>(+'[51]May14loa'!$J$46)/1000</f>
        <v>3262.37</v>
      </c>
      <c r="V350" s="49">
        <f t="shared" si="33"/>
        <v>13725.703000000001</v>
      </c>
      <c r="W350" s="13">
        <f>(+'[51]May14loa'!$I$49)/1000</f>
        <v>6244.823</v>
      </c>
      <c r="X350" s="13">
        <f>(+'[51]May14loa'!$I$50)/1000</f>
        <v>299.283</v>
      </c>
      <c r="Y350" s="13">
        <f>(+'[51]May14loa'!$I$51)/1000</f>
        <v>7181.597</v>
      </c>
      <c r="Z350" s="49">
        <f>(+'[51]May14loa'!$J$53)/1000</f>
        <v>10229.846</v>
      </c>
      <c r="AA350" s="49">
        <f t="shared" si="34"/>
        <v>27688.071</v>
      </c>
      <c r="AB350" s="13">
        <f>(+'[51]May14loa'!$I$56)/1000</f>
        <v>3923.423</v>
      </c>
      <c r="AC350" s="13">
        <f>(+'[51]May14loa'!$I$57)/1000</f>
        <v>0.002</v>
      </c>
      <c r="AD350" s="13">
        <f>(+'[51]May14loa'!$I$58)/1000</f>
        <v>23128.805</v>
      </c>
      <c r="AE350" s="13">
        <f>(+'[51]May14loa'!$I$59)/1000</f>
        <v>635.841</v>
      </c>
      <c r="AF350" s="49">
        <f>(+'[51]May14loa'!$J$61)/1000</f>
        <v>45737.198</v>
      </c>
      <c r="AG350" s="49">
        <v>0</v>
      </c>
      <c r="AH350" s="49">
        <f>(+'[51]May14loa'!$J$63)/1000</f>
        <v>26670.679</v>
      </c>
      <c r="AI350" s="49">
        <f>(+'[51]May14loa'!$J$65)/1000</f>
        <v>2511.848</v>
      </c>
      <c r="AJ350" s="49">
        <f>(+'[51]May14loa'!$J$67)/1000</f>
        <v>18688.278</v>
      </c>
      <c r="AK350" s="49">
        <f>(+'[51]May14loa'!$J$73)/1000</f>
        <v>158826.531</v>
      </c>
      <c r="AL350" s="49">
        <f>(+'[51]May14loa'!$J$77)/1000</f>
        <v>11450.821</v>
      </c>
      <c r="AM350" s="14">
        <f t="shared" si="35"/>
        <v>365776.358</v>
      </c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8"/>
      <c r="ED350" s="18"/>
      <c r="EE350" s="18"/>
      <c r="EF350" s="18"/>
      <c r="EG350" s="18"/>
      <c r="EH350" s="18"/>
      <c r="EI350" s="18"/>
      <c r="EJ350" s="18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</row>
    <row r="351" spans="1:159" s="19" customFormat="1" ht="15">
      <c r="A351" s="22">
        <v>41820</v>
      </c>
      <c r="B351" s="49">
        <f t="shared" si="30"/>
        <v>9740.294</v>
      </c>
      <c r="C351" s="13">
        <f>(+'[52]Jun14loa'!$H$10)/1000</f>
        <v>7887.722</v>
      </c>
      <c r="D351" s="13">
        <f>(+'[52]Jun14loa'!$H$19)/1000</f>
        <v>1399.128</v>
      </c>
      <c r="E351" s="13">
        <f>(+'[52]Jun14loa'!$H$23)/1000</f>
        <v>453.444</v>
      </c>
      <c r="F351" s="49">
        <f>(+'[52]Jun14loa'!$I$25)/1000</f>
        <v>679.563</v>
      </c>
      <c r="G351" s="49">
        <f t="shared" si="31"/>
        <v>12499.362999999998</v>
      </c>
      <c r="H351" s="13">
        <f>(+'[52]Jun14loa'!$H$30)/1000</f>
        <v>439.713</v>
      </c>
      <c r="I351" s="13">
        <f>(+'[52]Jun14loa'!$H$31+'[52]Jun14loa'!$H$32)/1000</f>
        <v>5413.536</v>
      </c>
      <c r="J351" s="13">
        <f>(+'[52]Jun14loa'!$H$33)/1000</f>
        <v>269.365</v>
      </c>
      <c r="K351" s="13">
        <f>(+'[52]Jun14loa'!$H$34)/1000</f>
        <v>241.21</v>
      </c>
      <c r="L351" s="13">
        <f>(+'[52]Jun14loa'!$H$35)/1000</f>
        <v>510.645</v>
      </c>
      <c r="M351" s="13">
        <f>(+'[52]Jun14loa'!$H$36)/1000</f>
        <v>337.812</v>
      </c>
      <c r="N351" s="13">
        <f>(+'[52]Jun14loa'!$H$37)/1000</f>
        <v>889.829</v>
      </c>
      <c r="O351" s="13">
        <f>(+'[52]Jun14loa'!$H$38)/1000</f>
        <v>591.417</v>
      </c>
      <c r="P351" s="13">
        <f>(+'[52]Jun14loa'!$H$39)/1000</f>
        <v>3805.836</v>
      </c>
      <c r="Q351" s="49">
        <f t="shared" si="32"/>
        <v>23948.622000000003</v>
      </c>
      <c r="R351" s="13">
        <f>(+'[52]Jun14loa'!$H$42)/1000</f>
        <v>22582.096</v>
      </c>
      <c r="S351" s="13">
        <f>(+'[52]Jun14loa'!$H$43)/1000</f>
        <v>1123.187</v>
      </c>
      <c r="T351" s="13">
        <f>(+'[52]Jun14loa'!$H$44)/1000</f>
        <v>243.339</v>
      </c>
      <c r="U351" s="49">
        <f>(+'[52]Jun14loa'!$I$46)/1000</f>
        <v>3384.22</v>
      </c>
      <c r="V351" s="49">
        <f t="shared" si="33"/>
        <v>13446.802</v>
      </c>
      <c r="W351" s="13">
        <f>(+'[52]Jun14loa'!$H$49)/1000</f>
        <v>5661.249</v>
      </c>
      <c r="X351" s="13">
        <f>(+'[52]Jun14loa'!$H$50)/1000</f>
        <v>288.588</v>
      </c>
      <c r="Y351" s="13">
        <f>(+'[52]Jun14loa'!$H$51)/1000</f>
        <v>7496.965</v>
      </c>
      <c r="Z351" s="49">
        <f>(+'[52]Jun14loa'!$I$53)/1000</f>
        <v>10207.588</v>
      </c>
      <c r="AA351" s="49">
        <f t="shared" si="34"/>
        <v>30055.829</v>
      </c>
      <c r="AB351" s="13">
        <f>(+'[52]Jun14loa'!$H$56)/1000</f>
        <v>4106.525</v>
      </c>
      <c r="AC351" s="13">
        <f>(+'[52]Jun14loa'!$H$57)/1000</f>
        <v>0</v>
      </c>
      <c r="AD351" s="13">
        <f>(+'[52]Jun14loa'!$H$58)/1000</f>
        <v>25317.475</v>
      </c>
      <c r="AE351" s="13">
        <f>(+'[52]Jun14loa'!$H$59)/1000</f>
        <v>631.829</v>
      </c>
      <c r="AF351" s="49">
        <f>(+'[52]Jun14loa'!$I$61)/1000</f>
        <v>46558.321</v>
      </c>
      <c r="AG351" s="49">
        <v>0</v>
      </c>
      <c r="AH351" s="49">
        <f>(+'[52]Jun14loa'!$I$63)/1000</f>
        <v>26860.586</v>
      </c>
      <c r="AI351" s="49">
        <f>(+'[52]Jun14loa'!$I$65)/1000</f>
        <v>2454.041</v>
      </c>
      <c r="AJ351" s="49">
        <f>(+'[52]Jun14loa'!$I$67)/1000</f>
        <v>18912.717</v>
      </c>
      <c r="AK351" s="49">
        <f>(+'[52]Jun14loa'!$I$73)/1000</f>
        <v>160976.026</v>
      </c>
      <c r="AL351" s="49">
        <f>(+'[52]Jun14loa'!$I$77)/1000</f>
        <v>11375.037</v>
      </c>
      <c r="AM351" s="14">
        <f t="shared" si="35"/>
        <v>371099.0090000001</v>
      </c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8"/>
      <c r="ED351" s="18"/>
      <c r="EE351" s="18"/>
      <c r="EF351" s="18"/>
      <c r="EG351" s="18"/>
      <c r="EH351" s="18"/>
      <c r="EI351" s="18"/>
      <c r="EJ351" s="18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</row>
    <row r="352" spans="1:159" s="19" customFormat="1" ht="15">
      <c r="A352" s="22">
        <v>41851</v>
      </c>
      <c r="B352" s="49">
        <f t="shared" si="30"/>
        <v>9836.449</v>
      </c>
      <c r="C352" s="13">
        <f>(+'[53]Jul14loa'!$H$10)/1000</f>
        <v>8041.863</v>
      </c>
      <c r="D352" s="13">
        <f>(+'[53]Jul14loa'!$H$19)/1000</f>
        <v>1347.318</v>
      </c>
      <c r="E352" s="13">
        <f>(+'[53]Jul14loa'!$H$23)/1000</f>
        <v>447.268</v>
      </c>
      <c r="F352" s="49">
        <f>(+'[53]Jul14loa'!$I$25)/1000</f>
        <v>694.274</v>
      </c>
      <c r="G352" s="49">
        <f t="shared" si="31"/>
        <v>12429.068</v>
      </c>
      <c r="H352" s="13">
        <f>(+'[53]Jul14loa'!$H$30)/1000</f>
        <v>387.739</v>
      </c>
      <c r="I352" s="13">
        <f>(+'[53]Jul14loa'!$H$31+'[53]Jul14loa'!$H$32)/1000</f>
        <v>5597.989</v>
      </c>
      <c r="J352" s="13">
        <f>(+'[53]Jul14loa'!$H$33)/1000</f>
        <v>255.425</v>
      </c>
      <c r="K352" s="13">
        <f>(+'[53]Jul14loa'!$H$34)/1000</f>
        <v>152.11</v>
      </c>
      <c r="L352" s="13">
        <f>(+'[53]Jul14loa'!$H$35)/1000</f>
        <v>481.573</v>
      </c>
      <c r="M352" s="13">
        <f>(+'[53]Jul14loa'!$H$36)/1000</f>
        <v>321.637</v>
      </c>
      <c r="N352" s="13">
        <f>(+'[53]Jul14loa'!$H$37)/1000</f>
        <v>859.353</v>
      </c>
      <c r="O352" s="13">
        <f>(+'[53]Jul14loa'!$H$38)/1000</f>
        <v>610.257</v>
      </c>
      <c r="P352" s="13">
        <f>(+'[53]Jul14loa'!$H$39)/1000</f>
        <v>3762.985</v>
      </c>
      <c r="Q352" s="49">
        <f t="shared" si="32"/>
        <v>24037.778</v>
      </c>
      <c r="R352" s="13">
        <f>(+'[53]Jul14loa'!$H$42)/1000</f>
        <v>22647.889</v>
      </c>
      <c r="S352" s="13">
        <f>(+'[53]Jul14loa'!$H$43)/1000</f>
        <v>1149.035</v>
      </c>
      <c r="T352" s="13">
        <f>(+'[53]Jul14loa'!$H$44)/1000</f>
        <v>240.854</v>
      </c>
      <c r="U352" s="49">
        <f>(+'[53]Jul14loa'!$I$46)/1000</f>
        <v>3584.35</v>
      </c>
      <c r="V352" s="49">
        <f t="shared" si="33"/>
        <v>14033.127</v>
      </c>
      <c r="W352" s="13">
        <f>(+'[53]Jul14loa'!$H$49)/1000</f>
        <v>6239.888</v>
      </c>
      <c r="X352" s="13">
        <f>(+'[53]Jul14loa'!$H$50)/1000</f>
        <v>281.249</v>
      </c>
      <c r="Y352" s="13">
        <f>(+'[53]Jul14loa'!$H$51)/1000</f>
        <v>7511.99</v>
      </c>
      <c r="Z352" s="49">
        <f>(+'[53]Jul14loa'!$I$53)/1000</f>
        <v>9446.413</v>
      </c>
      <c r="AA352" s="49">
        <f t="shared" si="34"/>
        <v>28875.137000000002</v>
      </c>
      <c r="AB352" s="13">
        <f>(+'[53]Jul14loa'!$H$56)/1000</f>
        <v>4036.952</v>
      </c>
      <c r="AC352" s="13">
        <f>(+'[53]Jul14loa'!$H$57)/1000</f>
        <v>0</v>
      </c>
      <c r="AD352" s="13">
        <f>(+'[53]Jul14loa'!$H$58)/1000</f>
        <v>24239.625</v>
      </c>
      <c r="AE352" s="13">
        <f>(+'[53]Jul14loa'!$H$59)/1000</f>
        <v>598.56</v>
      </c>
      <c r="AF352" s="49">
        <f>(+'[53]Jul14loa'!$I$61)/1000</f>
        <v>48030.793</v>
      </c>
      <c r="AG352" s="49">
        <v>0</v>
      </c>
      <c r="AH352" s="49">
        <f>(+'[53]Jul14loa'!$I$63)/1000</f>
        <v>29077.29</v>
      </c>
      <c r="AI352" s="49">
        <f>(+'[53]Jul14loa'!$I$65)/1000</f>
        <v>2361.919</v>
      </c>
      <c r="AJ352" s="49">
        <f>(+'[53]Jul14loa'!$I$67)/1000</f>
        <v>19972.803</v>
      </c>
      <c r="AK352" s="49">
        <f>(+'[53]Jul14loa'!$I$73)/1000</f>
        <v>161583.714</v>
      </c>
      <c r="AL352" s="49">
        <f>(+'[53]Jul14loa'!$I$77)/1000</f>
        <v>13372.286</v>
      </c>
      <c r="AM352" s="14">
        <f t="shared" si="35"/>
        <v>377335.401</v>
      </c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8"/>
      <c r="ED352" s="18"/>
      <c r="EE352" s="18"/>
      <c r="EF352" s="18"/>
      <c r="EG352" s="18"/>
      <c r="EH352" s="18"/>
      <c r="EI352" s="18"/>
      <c r="EJ352" s="18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</row>
    <row r="353" spans="1:159" s="19" customFormat="1" ht="15">
      <c r="A353" s="22">
        <v>41882</v>
      </c>
      <c r="B353" s="49">
        <f t="shared" si="30"/>
        <v>9399.325</v>
      </c>
      <c r="C353" s="13">
        <f>(+'[54]Aug14loa'!$H$10)/1000</f>
        <v>7857.788</v>
      </c>
      <c r="D353" s="13">
        <f>(+'[54]Aug14loa'!$H$19)/1000</f>
        <v>1094.338</v>
      </c>
      <c r="E353" s="13">
        <f>(+'[54]Aug14loa'!$H$23)/1000</f>
        <v>447.199</v>
      </c>
      <c r="F353" s="49">
        <f>(+'[54]Aug14loa'!$I$25)/1000</f>
        <v>705.267</v>
      </c>
      <c r="G353" s="49">
        <f t="shared" si="31"/>
        <v>12408.246000000001</v>
      </c>
      <c r="H353" s="13">
        <f>(+'[54]Aug14loa'!$H$30)/1000</f>
        <v>343.054</v>
      </c>
      <c r="I353" s="13">
        <f>(+'[54]Aug14loa'!$H$31+'[54]Aug14loa'!$H$32)/1000</f>
        <v>5833.402</v>
      </c>
      <c r="J353" s="13">
        <f>(+'[54]Aug14loa'!$H$33)/1000</f>
        <v>250.828</v>
      </c>
      <c r="K353" s="13">
        <f>(+'[54]Aug14loa'!$H$34)/1000</f>
        <v>141.616</v>
      </c>
      <c r="L353" s="13">
        <f>(+'[54]Aug14loa'!$H$35)/1000</f>
        <v>594.592</v>
      </c>
      <c r="M353" s="13">
        <f>(+'[54]Aug14loa'!$H$36)/1000</f>
        <v>265.496</v>
      </c>
      <c r="N353" s="13">
        <f>(+'[54]Aug14loa'!$H$37)/1000</f>
        <v>885.088</v>
      </c>
      <c r="O353" s="13">
        <f>(+'[54]Aug14loa'!$H$38)/1000</f>
        <v>616.876</v>
      </c>
      <c r="P353" s="13">
        <f>(+'[54]Aug14loa'!$H$39)/1000</f>
        <v>3477.294</v>
      </c>
      <c r="Q353" s="49">
        <f t="shared" si="32"/>
        <v>24188.145</v>
      </c>
      <c r="R353" s="13">
        <f>(+'[54]Aug14loa'!$H$42)/1000</f>
        <v>22805.71</v>
      </c>
      <c r="S353" s="13">
        <f>(+'[54]Aug14loa'!$H$43)/1000</f>
        <v>1143.61</v>
      </c>
      <c r="T353" s="13">
        <f>(+'[54]Aug14loa'!$H$44)/1000</f>
        <v>238.825</v>
      </c>
      <c r="U353" s="49">
        <f>(+'[54]Aug14loa'!$I$46)/1000</f>
        <v>3468.472</v>
      </c>
      <c r="V353" s="49">
        <f t="shared" si="33"/>
        <v>13394.135</v>
      </c>
      <c r="W353" s="13">
        <f>(+'[54]Aug14loa'!$H$49)/1000</f>
        <v>6052.473</v>
      </c>
      <c r="X353" s="13">
        <f>(+'[54]Aug14loa'!$H$50)/1000</f>
        <v>279.133</v>
      </c>
      <c r="Y353" s="13">
        <f>(+'[54]Aug14loa'!$H$51)/1000</f>
        <v>7062.529</v>
      </c>
      <c r="Z353" s="49">
        <f>(+'[54]Aug14loa'!$I$53)/1000</f>
        <v>8704.439</v>
      </c>
      <c r="AA353" s="49">
        <f t="shared" si="34"/>
        <v>28377.628</v>
      </c>
      <c r="AB353" s="13">
        <f>(+'[54]Aug14loa'!$H$56)/1000</f>
        <v>3891.722</v>
      </c>
      <c r="AC353" s="13">
        <f>(+'[54]Aug14loa'!$H$57)/1000</f>
        <v>0</v>
      </c>
      <c r="AD353" s="13">
        <f>(+'[54]Aug14loa'!$H$58)/1000</f>
        <v>23861.682</v>
      </c>
      <c r="AE353" s="13">
        <f>(+'[54]Aug14loa'!$H$59)/1000</f>
        <v>624.224</v>
      </c>
      <c r="AF353" s="49">
        <f>(+'[54]Aug14loa'!$I$61)/1000</f>
        <v>48852.694</v>
      </c>
      <c r="AG353" s="49">
        <v>0</v>
      </c>
      <c r="AH353" s="49">
        <f>(+'[54]Aug14loa'!$I$63)/1000</f>
        <v>29013.513</v>
      </c>
      <c r="AI353" s="49">
        <f>(+'[54]Aug14loa'!$I$65)/1000</f>
        <v>2366.114</v>
      </c>
      <c r="AJ353" s="49">
        <f>(+'[54]Aug14loa'!$I$67)/1000</f>
        <v>20235.799</v>
      </c>
      <c r="AK353" s="49">
        <f>(+'[54]Aug14loa'!$I$73)/1000</f>
        <v>163024.618</v>
      </c>
      <c r="AL353" s="49">
        <f>(+'[54]Aug14loa'!$I$77)/1000</f>
        <v>14285.955</v>
      </c>
      <c r="AM353" s="14">
        <f t="shared" si="35"/>
        <v>378424.35000000003</v>
      </c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8"/>
      <c r="ED353" s="18"/>
      <c r="EE353" s="18"/>
      <c r="EF353" s="18"/>
      <c r="EG353" s="18"/>
      <c r="EH353" s="18"/>
      <c r="EI353" s="18"/>
      <c r="EJ353" s="18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</row>
    <row r="354" spans="1:159" s="19" customFormat="1" ht="15">
      <c r="A354" s="22">
        <v>41912</v>
      </c>
      <c r="B354" s="49">
        <f t="shared" si="30"/>
        <v>9146.301</v>
      </c>
      <c r="C354" s="13">
        <f>(+'[55]Sep14loa'!$H$10)/1000</f>
        <v>7598.39</v>
      </c>
      <c r="D354" s="13">
        <f>(+'[55]Sep14loa'!$H$19)/1000</f>
        <v>1104.522</v>
      </c>
      <c r="E354" s="13">
        <f>(+'[55]Sep14loa'!$H$23)/1000</f>
        <v>443.389</v>
      </c>
      <c r="F354" s="49">
        <f>(+'[55]Sep14loa'!$I$25)/1000</f>
        <v>734.916</v>
      </c>
      <c r="G354" s="49">
        <f t="shared" si="31"/>
        <v>12574.035</v>
      </c>
      <c r="H354" s="13">
        <f>(+'[55]Sep14loa'!$H$30)/1000</f>
        <v>492.048</v>
      </c>
      <c r="I354" s="13">
        <f>(+'[55]Sep14loa'!$H$31+'[55]Sep14loa'!$H$32)/1000</f>
        <v>5668.972</v>
      </c>
      <c r="J354" s="13">
        <f>(+'[55]Sep14loa'!$H$33)/1000</f>
        <v>269.038</v>
      </c>
      <c r="K354" s="13">
        <f>(+'[55]Sep14loa'!$H$34)/1000</f>
        <v>152.948</v>
      </c>
      <c r="L354" s="13">
        <f>(+'[55]Sep14loa'!$H$35)/1000</f>
        <v>612.15</v>
      </c>
      <c r="M354" s="13">
        <f>(+'[55]Sep14loa'!$H$36)/1000</f>
        <v>270.97</v>
      </c>
      <c r="N354" s="13">
        <f>(+'[55]Sep14loa'!$H$37)/1000</f>
        <v>616.189</v>
      </c>
      <c r="O354" s="13">
        <f>(+'[55]Sep14loa'!$H$38)/1000</f>
        <v>560.63</v>
      </c>
      <c r="P354" s="13">
        <f>(+'[55]Sep14loa'!$H$39)/1000</f>
        <v>3931.09</v>
      </c>
      <c r="Q354" s="49">
        <f t="shared" si="32"/>
        <v>24130.861</v>
      </c>
      <c r="R354" s="13">
        <f>(+'[55]Sep14loa'!$H$42)/1000</f>
        <v>22779.002</v>
      </c>
      <c r="S354" s="13">
        <f>(+'[55]Sep14loa'!$H$43)/1000</f>
        <v>1115.802</v>
      </c>
      <c r="T354" s="13">
        <f>(+'[55]Sep14loa'!$H$44)/1000</f>
        <v>236.057</v>
      </c>
      <c r="U354" s="49">
        <f>(+'[55]Sep14loa'!$I$46)/1000</f>
        <v>3596.892</v>
      </c>
      <c r="V354" s="49">
        <f t="shared" si="33"/>
        <v>12711.205999999998</v>
      </c>
      <c r="W354" s="13">
        <f>(+'[55]Sep14loa'!$H$49)/1000</f>
        <v>5953.159</v>
      </c>
      <c r="X354" s="13">
        <f>(+'[55]Sep14loa'!$H$50)/1000</f>
        <v>261.392</v>
      </c>
      <c r="Y354" s="13">
        <f>(+'[55]Sep14loa'!$H$51)/1000</f>
        <v>6496.655</v>
      </c>
      <c r="Z354" s="49">
        <f>(+'[55]Sep14loa'!$I$53)/1000</f>
        <v>8696.004</v>
      </c>
      <c r="AA354" s="49">
        <f t="shared" si="34"/>
        <v>30566.666</v>
      </c>
      <c r="AB354" s="13">
        <f>(+'[55]Sep14loa'!$H$56)/1000</f>
        <v>3689.893</v>
      </c>
      <c r="AC354" s="13">
        <f>(+'[55]Sep14loa'!$H$57)/1000</f>
        <v>0</v>
      </c>
      <c r="AD354" s="13">
        <f>(+'[55]Sep14loa'!$H$58)/1000</f>
        <v>26271.164</v>
      </c>
      <c r="AE354" s="13">
        <f>(+'[55]Sep14loa'!$H$59)/1000</f>
        <v>605.609</v>
      </c>
      <c r="AF354" s="49">
        <f>(+'[55]Sep14loa'!$I$61)/1000</f>
        <v>47226.805</v>
      </c>
      <c r="AG354" s="49">
        <v>0</v>
      </c>
      <c r="AH354" s="49">
        <f>(+'[55]Sep14loa'!$I$63)/1000</f>
        <v>28603.727</v>
      </c>
      <c r="AI354" s="49">
        <f>(+'[55]Sep14loa'!$I$65)/1000</f>
        <v>2316.252</v>
      </c>
      <c r="AJ354" s="49">
        <f>(+'[55]Sep14loa'!$I$67)/1000</f>
        <v>20245.381</v>
      </c>
      <c r="AK354" s="49">
        <f>(+'[55]Sep14loa'!$I$73)/1000</f>
        <v>163372.816</v>
      </c>
      <c r="AL354" s="49">
        <f>(+'[55]Sep14loa'!$I$77)/1000</f>
        <v>13347.852</v>
      </c>
      <c r="AM354" s="14">
        <f t="shared" si="35"/>
        <v>377269.714</v>
      </c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8"/>
      <c r="ED354" s="18"/>
      <c r="EE354" s="18"/>
      <c r="EF354" s="18"/>
      <c r="EG354" s="18"/>
      <c r="EH354" s="18"/>
      <c r="EI354" s="18"/>
      <c r="EJ354" s="18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</row>
    <row r="355" spans="1:159" s="19" customFormat="1" ht="15">
      <c r="A355" s="22">
        <v>41943</v>
      </c>
      <c r="B355" s="49">
        <f t="shared" si="30"/>
        <v>9041.445</v>
      </c>
      <c r="C355" s="13">
        <f>(+'[56]Oct14loa'!$H$10)/1000</f>
        <v>7536.94</v>
      </c>
      <c r="D355" s="13">
        <f>(+'[56]Oct14loa'!$H$19)/1000</f>
        <v>1061.689</v>
      </c>
      <c r="E355" s="13">
        <f>(+'[56]Oct14loa'!$H$23)/1000</f>
        <v>442.816</v>
      </c>
      <c r="F355" s="49">
        <f>(+'[56]Oct14loa'!$I$25)/1000</f>
        <v>737.105</v>
      </c>
      <c r="G355" s="49">
        <f t="shared" si="31"/>
        <v>12579.782</v>
      </c>
      <c r="H355" s="13">
        <f>(+'[56]Oct14loa'!$H$30)/1000</f>
        <v>422.639</v>
      </c>
      <c r="I355" s="13">
        <f>(+'[56]Oct14loa'!$H$31+'[56]Oct14loa'!$H$32)/1000</f>
        <v>5620.553</v>
      </c>
      <c r="J355" s="13">
        <f>(+'[56]Oct14loa'!$H$33)/1000</f>
        <v>338.734</v>
      </c>
      <c r="K355" s="13">
        <f>(+'[56]Oct14loa'!$H$34)/1000</f>
        <v>147.927</v>
      </c>
      <c r="L355" s="13">
        <f>(+'[56]Oct14loa'!$H$35)/1000</f>
        <v>601.835</v>
      </c>
      <c r="M355" s="13">
        <f>(+'[56]Oct14loa'!$H$36)/1000</f>
        <v>274.307</v>
      </c>
      <c r="N355" s="13">
        <f>(+'[56]Oct14loa'!$H$37)/1000</f>
        <v>603.513</v>
      </c>
      <c r="O355" s="13">
        <f>(+'[56]Oct14loa'!$H$38)/1000</f>
        <v>523.419</v>
      </c>
      <c r="P355" s="13">
        <f>(+'[56]Oct14loa'!$H$39)/1000</f>
        <v>4046.855</v>
      </c>
      <c r="Q355" s="49">
        <f t="shared" si="32"/>
        <v>24024.679000000004</v>
      </c>
      <c r="R355" s="13">
        <f>(+'[56]Oct14loa'!$H$42)/1000</f>
        <v>22662.04</v>
      </c>
      <c r="S355" s="13">
        <f>(+'[56]Oct14loa'!$H$43)/1000</f>
        <v>1127.899</v>
      </c>
      <c r="T355" s="13">
        <f>(+'[56]Oct14loa'!$H$44)/1000</f>
        <v>234.74</v>
      </c>
      <c r="U355" s="49">
        <f>(+'[56]Oct14loa'!$I$46)/1000</f>
        <v>2767.324</v>
      </c>
      <c r="V355" s="49">
        <f t="shared" si="33"/>
        <v>12506.096</v>
      </c>
      <c r="W355" s="13">
        <f>(+'[56]Oct14loa'!$H$49)/1000</f>
        <v>5777.48</v>
      </c>
      <c r="X355" s="13">
        <f>(+'[56]Oct14loa'!$H$50)/1000</f>
        <v>251.37</v>
      </c>
      <c r="Y355" s="13">
        <f>(+'[56]Oct14loa'!$H$51)/1000</f>
        <v>6477.246</v>
      </c>
      <c r="Z355" s="49">
        <f>(+'[56]Oct14loa'!$I$53)/1000</f>
        <v>8654.507</v>
      </c>
      <c r="AA355" s="49">
        <f t="shared" si="34"/>
        <v>30826.803000000004</v>
      </c>
      <c r="AB355" s="13">
        <f>(+'[56]Oct14loa'!$H$56)/1000</f>
        <v>3923.201</v>
      </c>
      <c r="AC355" s="13">
        <f>(+'[56]Oct14loa'!$H$57)/1000</f>
        <v>0</v>
      </c>
      <c r="AD355" s="13">
        <f>(+'[56]Oct14loa'!$H$58)/1000</f>
        <v>26300.098</v>
      </c>
      <c r="AE355" s="13">
        <f>(+'[56]Oct14loa'!$H$59)/1000</f>
        <v>603.504</v>
      </c>
      <c r="AF355" s="49">
        <f>(+'[56]Oct14loa'!$I$61)/1000</f>
        <v>49110.315</v>
      </c>
      <c r="AG355" s="49">
        <v>0</v>
      </c>
      <c r="AH355" s="49">
        <f>(+'[56]Oct14loa'!$I$63)/1000</f>
        <v>29932.963</v>
      </c>
      <c r="AI355" s="49">
        <f>(+'[56]Oct14loa'!$I$65)/1000</f>
        <v>2334.928</v>
      </c>
      <c r="AJ355" s="49">
        <f>(+'[56]Oct14loa'!$I$67)/1000</f>
        <v>20226.432</v>
      </c>
      <c r="AK355" s="49">
        <f>(+'[56]Oct14loa'!$I$73)/1000</f>
        <v>162934.218</v>
      </c>
      <c r="AL355" s="49">
        <f>(+'[56]Oct14loa'!$I$77)/1000</f>
        <v>13251.14</v>
      </c>
      <c r="AM355" s="14">
        <f t="shared" si="35"/>
        <v>378927.73699999996</v>
      </c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8"/>
      <c r="ED355" s="18"/>
      <c r="EE355" s="18"/>
      <c r="EF355" s="18"/>
      <c r="EG355" s="18"/>
      <c r="EH355" s="18"/>
      <c r="EI355" s="18"/>
      <c r="EJ355" s="18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</row>
    <row r="356" spans="1:159" s="19" customFormat="1" ht="15">
      <c r="A356" s="22">
        <v>41973</v>
      </c>
      <c r="B356" s="49">
        <f t="shared" si="30"/>
        <v>8804.650000000001</v>
      </c>
      <c r="C356" s="13">
        <f>(+'[57]Nov14loa'!$H$10)/1000</f>
        <v>7299.906</v>
      </c>
      <c r="D356" s="13">
        <f>(+'[57]Nov14loa'!$H$19)/1000</f>
        <v>1068.999</v>
      </c>
      <c r="E356" s="13">
        <f>(+'[57]Nov14loa'!$H$23)/1000</f>
        <v>435.745</v>
      </c>
      <c r="F356" s="49">
        <f>(+'[57]Nov14loa'!$I$25)/1000</f>
        <v>708.102</v>
      </c>
      <c r="G356" s="49">
        <f t="shared" si="31"/>
        <v>12898.739000000001</v>
      </c>
      <c r="H356" s="13">
        <f>(+'[57]Nov14loa'!$H$30)/1000</f>
        <v>422.435</v>
      </c>
      <c r="I356" s="13">
        <f>(+'[57]Nov14loa'!$H$31+'[57]Nov14loa'!$H$32)/1000</f>
        <v>6079.497</v>
      </c>
      <c r="J356" s="13">
        <f>(+'[57]Nov14loa'!$H$33)/1000</f>
        <v>344.332</v>
      </c>
      <c r="K356" s="13">
        <f>(+'[57]Nov14loa'!$H$34)/1000</f>
        <v>172.383</v>
      </c>
      <c r="L356" s="13">
        <f>(+'[57]Nov14loa'!$H$35)/1000</f>
        <v>640.457</v>
      </c>
      <c r="M356" s="13">
        <f>(+'[57]Nov14loa'!$H$36)/1000</f>
        <v>147.197</v>
      </c>
      <c r="N356" s="13">
        <f>(+'[57]Nov14loa'!$H$37)/1000</f>
        <v>594.514</v>
      </c>
      <c r="O356" s="13">
        <f>(+'[57]Nov14loa'!$H$38)/1000</f>
        <v>513.33</v>
      </c>
      <c r="P356" s="13">
        <f>(+'[57]Nov14loa'!$H$39)/1000</f>
        <v>3984.594</v>
      </c>
      <c r="Q356" s="49">
        <f t="shared" si="32"/>
        <v>24275.555999999997</v>
      </c>
      <c r="R356" s="13">
        <f>(+'[57]Nov14loa'!$H$42)/1000</f>
        <v>22929.12</v>
      </c>
      <c r="S356" s="13">
        <f>(+'[57]Nov14loa'!$H$43)/1000</f>
        <v>1114.778</v>
      </c>
      <c r="T356" s="13">
        <f>(+'[57]Nov14loa'!$H$44)/1000</f>
        <v>231.658</v>
      </c>
      <c r="U356" s="49">
        <f>(+'[57]Nov14loa'!$I$46)/1000</f>
        <v>2824.192</v>
      </c>
      <c r="V356" s="49">
        <f t="shared" si="33"/>
        <v>12255.766</v>
      </c>
      <c r="W356" s="13">
        <f>(+'[57]Nov14loa'!$H$49)/1000</f>
        <v>5681.503</v>
      </c>
      <c r="X356" s="13">
        <f>(+'[57]Nov14loa'!$H$50)/1000</f>
        <v>243.193</v>
      </c>
      <c r="Y356" s="13">
        <f>(+'[57]Nov14loa'!$H$51)/1000</f>
        <v>6331.07</v>
      </c>
      <c r="Z356" s="49">
        <f>(+'[57]Nov14loa'!$I$53)/1000</f>
        <v>8817.315</v>
      </c>
      <c r="AA356" s="49">
        <f t="shared" si="34"/>
        <v>29987.532</v>
      </c>
      <c r="AB356" s="13">
        <f>(+'[57]Nov14loa'!$H$56)/1000</f>
        <v>3894.365</v>
      </c>
      <c r="AC356" s="13">
        <f>(+'[57]Nov14loa'!$H$57)/1000</f>
        <v>0</v>
      </c>
      <c r="AD356" s="13">
        <f>(+'[57]Nov14loa'!$H$58)/1000</f>
        <v>25525.093</v>
      </c>
      <c r="AE356" s="13">
        <f>(+'[57]Nov14loa'!$H$59)/1000</f>
        <v>568.074</v>
      </c>
      <c r="AF356" s="49">
        <f>(+'[57]Nov14loa'!$I$61)/1000</f>
        <v>50065.864</v>
      </c>
      <c r="AG356" s="49">
        <v>0</v>
      </c>
      <c r="AH356" s="49">
        <f>(+'[57]Nov14loa'!$I$63)/1000</f>
        <v>29818.066</v>
      </c>
      <c r="AI356" s="49">
        <f>(+'[57]Nov14loa'!$I$65)/1000</f>
        <v>2349.557</v>
      </c>
      <c r="AJ356" s="49">
        <f>(+'[57]Nov14loa'!$I$67)/1000</f>
        <v>20611.214</v>
      </c>
      <c r="AK356" s="49">
        <f>(+'[57]Nov14loa'!$I$73)/1000</f>
        <v>164390.877</v>
      </c>
      <c r="AL356" s="49">
        <f>(+'[57]Nov14loa'!$I$77)/1000</f>
        <v>13297.813</v>
      </c>
      <c r="AM356" s="14">
        <f t="shared" si="35"/>
        <v>381105.2430000001</v>
      </c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8"/>
      <c r="ED356" s="18"/>
      <c r="EE356" s="18"/>
      <c r="EF356" s="18"/>
      <c r="EG356" s="18"/>
      <c r="EH356" s="18"/>
      <c r="EI356" s="18"/>
      <c r="EJ356" s="18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</row>
    <row r="357" spans="1:159" s="19" customFormat="1" ht="15">
      <c r="A357" s="22">
        <v>42004</v>
      </c>
      <c r="B357" s="49">
        <f t="shared" si="30"/>
        <v>8861.169999999998</v>
      </c>
      <c r="C357" s="13">
        <f>(+'[58]Dec14loa'!$H$10)/1000</f>
        <v>7356.718</v>
      </c>
      <c r="D357" s="13">
        <f>(+'[58]Dec14loa'!$H$19)/1000</f>
        <v>1074.894</v>
      </c>
      <c r="E357" s="13">
        <f>(+'[58]Dec14loa'!$H$23)/1000</f>
        <v>429.558</v>
      </c>
      <c r="F357" s="49">
        <f>(+'[58]Dec14loa'!$I$25)/1000</f>
        <v>729.017</v>
      </c>
      <c r="G357" s="49">
        <f t="shared" si="31"/>
        <v>12678.962</v>
      </c>
      <c r="H357" s="13">
        <f>(+'[58]Dec14loa'!$H$30)/1000</f>
        <v>354.01</v>
      </c>
      <c r="I357" s="13">
        <f>(+'[58]Dec14loa'!$H$31+'[58]Dec14loa'!$H$32)/1000</f>
        <v>5991.986</v>
      </c>
      <c r="J357" s="13">
        <f>(+'[58]Dec14loa'!$H$33)/1000</f>
        <v>346.355</v>
      </c>
      <c r="K357" s="13">
        <f>(+'[58]Dec14loa'!$H$34)/1000</f>
        <v>164.833</v>
      </c>
      <c r="L357" s="13">
        <f>(+'[58]Dec14loa'!$H$35)/1000</f>
        <v>642.19</v>
      </c>
      <c r="M357" s="13">
        <f>(+'[58]Dec14loa'!$H$36)/1000</f>
        <v>151.231</v>
      </c>
      <c r="N357" s="13">
        <f>(+'[58]Dec14loa'!$H$37)/1000</f>
        <v>593.449</v>
      </c>
      <c r="O357" s="13">
        <f>(+'[58]Dec14loa'!$H$38)/1000</f>
        <v>577.259</v>
      </c>
      <c r="P357" s="13">
        <f>(+'[58]Dec14loa'!$H$39)/1000</f>
        <v>3857.649</v>
      </c>
      <c r="Q357" s="49">
        <f t="shared" si="32"/>
        <v>24371.111</v>
      </c>
      <c r="R357" s="13">
        <f>(+'[58]Dec14loa'!$H$42)/1000</f>
        <v>23040.251</v>
      </c>
      <c r="S357" s="13">
        <f>(+'[58]Dec14loa'!$H$43)/1000</f>
        <v>1100.971</v>
      </c>
      <c r="T357" s="13">
        <f>(+'[58]Dec14loa'!$H$44)/1000</f>
        <v>229.889</v>
      </c>
      <c r="U357" s="49">
        <f>(+'[58]Dec14loa'!$I$46)/1000</f>
        <v>3334.269</v>
      </c>
      <c r="V357" s="49">
        <f t="shared" si="33"/>
        <v>12536.792</v>
      </c>
      <c r="W357" s="13">
        <f>(+'[58]Dec14loa'!$H$49)/1000</f>
        <v>5964.937</v>
      </c>
      <c r="X357" s="13">
        <f>(+'[58]Dec14loa'!$H$50)/1000</f>
        <v>239.333</v>
      </c>
      <c r="Y357" s="13">
        <f>(+'[58]Dec14loa'!$H$51)/1000</f>
        <v>6332.522</v>
      </c>
      <c r="Z357" s="49">
        <f>(+'[58]Dec14loa'!$I$53)/1000</f>
        <v>8645.942</v>
      </c>
      <c r="AA357" s="49">
        <f t="shared" si="34"/>
        <v>28571.061</v>
      </c>
      <c r="AB357" s="13">
        <f>(+'[58]Dec14loa'!$H$56)/1000</f>
        <v>3891.571</v>
      </c>
      <c r="AC357" s="13">
        <f>(+'[58]Dec14loa'!$H$57)/1000</f>
        <v>0.179</v>
      </c>
      <c r="AD357" s="13">
        <f>(+'[58]Dec14loa'!$H$58)/1000</f>
        <v>24065.838</v>
      </c>
      <c r="AE357" s="13">
        <f>(+'[58]Dec14loa'!$H$59)/1000</f>
        <v>613.473</v>
      </c>
      <c r="AF357" s="49">
        <f>(+'[58]Dec14loa'!$I$61)/1000</f>
        <v>49101.107</v>
      </c>
      <c r="AG357" s="49">
        <v>0</v>
      </c>
      <c r="AH357" s="49">
        <f>(+'[58]Dec14loa'!$I$63)/1000</f>
        <v>29718.234</v>
      </c>
      <c r="AI357" s="49">
        <f>(+'[58]Dec14loa'!$I$65)/1000</f>
        <v>2130.751</v>
      </c>
      <c r="AJ357" s="49">
        <f>(+'[58]Dec14loa'!$I$67)/1000</f>
        <v>22167.919</v>
      </c>
      <c r="AK357" s="49">
        <f>(+'[58]Dec14loa'!$I$73)/1000</f>
        <v>164882.818</v>
      </c>
      <c r="AL357" s="49">
        <f>(+'[58]Dec14loa'!$I$77)/1000</f>
        <v>13241.13</v>
      </c>
      <c r="AM357" s="14">
        <f t="shared" si="35"/>
        <v>380970.28299999994</v>
      </c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8"/>
      <c r="ED357" s="18"/>
      <c r="EE357" s="18"/>
      <c r="EF357" s="18"/>
      <c r="EG357" s="18"/>
      <c r="EH357" s="18"/>
      <c r="EI357" s="18"/>
      <c r="EJ357" s="18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</row>
    <row r="358" spans="1:159" s="19" customFormat="1" ht="15">
      <c r="A358" s="22">
        <v>42035</v>
      </c>
      <c r="B358" s="49">
        <f t="shared" si="30"/>
        <v>8674.715</v>
      </c>
      <c r="C358" s="13">
        <f>(+'[59]Jan15loa'!$H$10)/1000</f>
        <v>7217.707</v>
      </c>
      <c r="D358" s="13">
        <f>(+'[59]Jan15loa'!$H$19)/1000</f>
        <v>1030.932</v>
      </c>
      <c r="E358" s="13">
        <f>(+'[59]Jan15loa'!$H$23)/1000</f>
        <v>426.076</v>
      </c>
      <c r="F358" s="49">
        <f>(+'[59]Jan15loa'!$I$25)/1000</f>
        <v>727.879</v>
      </c>
      <c r="G358" s="49">
        <f t="shared" si="31"/>
        <v>11677.745</v>
      </c>
      <c r="H358" s="13">
        <f>(+'[59]Jan15loa'!$H$30)/1000</f>
        <v>283.29</v>
      </c>
      <c r="I358" s="13">
        <f>(+'[59]Jan15loa'!$H$31+'[59]Jan15loa'!$H$32)/1000</f>
        <v>6258.33</v>
      </c>
      <c r="J358" s="13">
        <f>(+'[59]Jan15loa'!$H$33)/1000</f>
        <v>346.148</v>
      </c>
      <c r="K358" s="13">
        <f>(+'[59]Jan15loa'!$H$34)/1000</f>
        <v>150.551</v>
      </c>
      <c r="L358" s="13">
        <f>(+'[59]Jan15loa'!$H$35)/1000</f>
        <v>656.044</v>
      </c>
      <c r="M358" s="13">
        <f>(+'[59]Jan15loa'!$H$36)/1000</f>
        <v>172.699</v>
      </c>
      <c r="N358" s="13">
        <f>(+'[59]Jan15loa'!$H$37)/1000</f>
        <v>557.995</v>
      </c>
      <c r="O358" s="13">
        <f>(+'[59]Jan15loa'!$H$38)/1000</f>
        <v>563.091</v>
      </c>
      <c r="P358" s="13">
        <f>(+'[59]Jan15loa'!$H$39)/1000</f>
        <v>2689.597</v>
      </c>
      <c r="Q358" s="49">
        <f t="shared" si="32"/>
        <v>25169.256999999998</v>
      </c>
      <c r="R358" s="13">
        <f>(+'[59]Jan15loa'!$H$42)/1000</f>
        <v>23194.946</v>
      </c>
      <c r="S358" s="13">
        <f>(+'[59]Jan15loa'!$H$43)/1000</f>
        <v>1748.744</v>
      </c>
      <c r="T358" s="13">
        <f>(+'[59]Jan15loa'!$H$44)/1000</f>
        <v>225.567</v>
      </c>
      <c r="U358" s="49">
        <f>(+'[59]Jan15loa'!$I$46)/1000</f>
        <v>3913.925</v>
      </c>
      <c r="V358" s="49">
        <f t="shared" si="33"/>
        <v>12711.146</v>
      </c>
      <c r="W358" s="13">
        <f>(+'[59]Jan15loa'!$H$49)/1000</f>
        <v>6090.368</v>
      </c>
      <c r="X358" s="13">
        <f>(+'[59]Jan15loa'!$H$50)/1000</f>
        <v>232.891</v>
      </c>
      <c r="Y358" s="13">
        <f>(+'[59]Jan15loa'!$H$51)/1000</f>
        <v>6387.887</v>
      </c>
      <c r="Z358" s="49">
        <f>(+'[59]Jan15loa'!$I$53)/1000</f>
        <v>8557.77</v>
      </c>
      <c r="AA358" s="49">
        <f t="shared" si="34"/>
        <v>27775.232</v>
      </c>
      <c r="AB358" s="13">
        <f>(+'[59]Jan15loa'!$H$56)/1000</f>
        <v>3850.358</v>
      </c>
      <c r="AC358" s="13">
        <f>(+'[59]Jan15loa'!$H$57)/1000</f>
        <v>0</v>
      </c>
      <c r="AD358" s="13">
        <f>(+'[59]Jan15loa'!$H$58)/1000</f>
        <v>23480.159</v>
      </c>
      <c r="AE358" s="13">
        <f>(+'[59]Jan15loa'!$H$59)/1000</f>
        <v>444.715</v>
      </c>
      <c r="AF358" s="49">
        <f>(+'[59]Jan15loa'!$I$61)/1000</f>
        <v>51084.995</v>
      </c>
      <c r="AG358" s="49">
        <v>0</v>
      </c>
      <c r="AH358" s="49">
        <f>(+'[59]Jan15loa'!$I$63)/1000</f>
        <v>29434.36</v>
      </c>
      <c r="AI358" s="49">
        <f>(+'[59]Jan15loa'!$I$65)/1000</f>
        <v>2096.7</v>
      </c>
      <c r="AJ358" s="49">
        <f>(+'[59]Jan15loa'!$I$67)/1000</f>
        <v>21318.313</v>
      </c>
      <c r="AK358" s="49">
        <f>(+'[59]Jan15loa'!$I$73)/1000</f>
        <v>164978.237</v>
      </c>
      <c r="AL358" s="49">
        <f>(+'[59]Jan15loa'!$I$77)/1000</f>
        <v>13804.725</v>
      </c>
      <c r="AM358" s="14">
        <f t="shared" si="35"/>
        <v>381924.999</v>
      </c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8"/>
      <c r="ED358" s="18"/>
      <c r="EE358" s="18"/>
      <c r="EF358" s="18"/>
      <c r="EG358" s="18"/>
      <c r="EH358" s="18"/>
      <c r="EI358" s="18"/>
      <c r="EJ358" s="18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</row>
    <row r="359" spans="1:159" s="19" customFormat="1" ht="15">
      <c r="A359" s="22">
        <v>42063</v>
      </c>
      <c r="B359" s="49">
        <f t="shared" si="30"/>
        <v>8733.823</v>
      </c>
      <c r="C359" s="13">
        <f>(+'[60]FEb15loa'!$H$10)/1000</f>
        <v>7274.232</v>
      </c>
      <c r="D359" s="13">
        <f>(+'[60]FEb15loa'!$H$19)/1000</f>
        <v>1035.475</v>
      </c>
      <c r="E359" s="13">
        <f>(+'[60]FEb15loa'!$H$23)/1000</f>
        <v>424.116</v>
      </c>
      <c r="F359" s="49">
        <f>(+'[60]FEb15loa'!$I$25)/1000</f>
        <v>782.499</v>
      </c>
      <c r="G359" s="49">
        <f t="shared" si="31"/>
        <v>13860.619</v>
      </c>
      <c r="H359" s="13">
        <f>(+'[60]FEb15loa'!$H$30)/1000</f>
        <v>247.325</v>
      </c>
      <c r="I359" s="13">
        <f>(+'[60]FEb15loa'!$H$31+'[60]FEb15loa'!$H$32)/1000</f>
        <v>6340.865</v>
      </c>
      <c r="J359" s="13">
        <f>(+'[60]FEb15loa'!$H$33)/1000</f>
        <v>384.345</v>
      </c>
      <c r="K359" s="13">
        <f>(+'[60]FEb15loa'!$H$34)/1000</f>
        <v>151.285</v>
      </c>
      <c r="L359" s="13">
        <f>(+'[60]FEb15loa'!$H$35)/1000</f>
        <v>669.65</v>
      </c>
      <c r="M359" s="13">
        <f>(+'[60]FEb15loa'!$H$36)/1000</f>
        <v>167.251</v>
      </c>
      <c r="N359" s="13">
        <f>(+'[60]FEb15loa'!$H$37)/1000</f>
        <v>503.379</v>
      </c>
      <c r="O359" s="13">
        <f>(+'[60]FEb15loa'!$H$38)/1000</f>
        <v>569.419</v>
      </c>
      <c r="P359" s="13">
        <f>(+'[60]FEb15loa'!$H$39)/1000</f>
        <v>4827.1</v>
      </c>
      <c r="Q359" s="49">
        <f t="shared" si="32"/>
        <v>24693.155</v>
      </c>
      <c r="R359" s="13">
        <f>(+'[60]FEb15loa'!$H$42)/1000</f>
        <v>22750.259</v>
      </c>
      <c r="S359" s="13">
        <f>(+'[60]FEb15loa'!$H$43)/1000</f>
        <v>1863.411</v>
      </c>
      <c r="T359" s="13">
        <f>(+'[60]FEb15loa'!$H$44)/1000</f>
        <v>79.485</v>
      </c>
      <c r="U359" s="49">
        <f>(+'[60]FEb15loa'!$I$46)/1000</f>
        <v>4000.984</v>
      </c>
      <c r="V359" s="49">
        <f t="shared" si="33"/>
        <v>12596.440999999999</v>
      </c>
      <c r="W359" s="13">
        <f>(+'[60]FEb15loa'!$H$49)/1000</f>
        <v>5993.293</v>
      </c>
      <c r="X359" s="13">
        <f>(+'[60]FEb15loa'!$H$50)/1000</f>
        <v>219.143</v>
      </c>
      <c r="Y359" s="13">
        <f>(+'[60]FEb15loa'!$H$51)/1000</f>
        <v>6384.005</v>
      </c>
      <c r="Z359" s="49">
        <f>(+'[60]FEb15loa'!$I$53)/1000</f>
        <v>8170.016</v>
      </c>
      <c r="AA359" s="49">
        <f t="shared" si="34"/>
        <v>29716.267</v>
      </c>
      <c r="AB359" s="13">
        <f>(+'[60]FEb15loa'!$H$56)/1000</f>
        <v>3788.389</v>
      </c>
      <c r="AC359" s="13">
        <f>(+'[60]FEb15loa'!$H$57)/1000</f>
        <v>0</v>
      </c>
      <c r="AD359" s="13">
        <f>(+'[60]FEb15loa'!$H$58)/1000</f>
        <v>25522.918</v>
      </c>
      <c r="AE359" s="13">
        <f>(+'[60]FEb15loa'!$H$59)/1000</f>
        <v>404.96</v>
      </c>
      <c r="AF359" s="49">
        <f>(+'[60]FEb15loa'!$I$61)/1000</f>
        <v>48189.217</v>
      </c>
      <c r="AG359" s="49">
        <v>0</v>
      </c>
      <c r="AH359" s="49">
        <f>(+'[60]FEb15loa'!$I$63)/1000</f>
        <v>29372.62</v>
      </c>
      <c r="AI359" s="49">
        <f>(+'[60]FEb15loa'!$I$65)/1000</f>
        <v>2118.091</v>
      </c>
      <c r="AJ359" s="49">
        <f>(+'[60]FEb15loa'!$I$67)/1000</f>
        <v>21180.485</v>
      </c>
      <c r="AK359" s="49">
        <f>(+'[60]FEb15loa'!$I$73)/1000</f>
        <v>167475.275</v>
      </c>
      <c r="AL359" s="49">
        <f>(+'[60]FEb15loa'!$I$77)/1000</f>
        <v>13836.556</v>
      </c>
      <c r="AM359" s="14">
        <f t="shared" si="35"/>
        <v>384726.04799999995</v>
      </c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8"/>
      <c r="ED359" s="18"/>
      <c r="EE359" s="18"/>
      <c r="EF359" s="18"/>
      <c r="EG359" s="18"/>
      <c r="EH359" s="18"/>
      <c r="EI359" s="18"/>
      <c r="EJ359" s="18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</row>
    <row r="360" spans="1:159" s="19" customFormat="1" ht="15">
      <c r="A360" s="22">
        <v>42094</v>
      </c>
      <c r="B360" s="49">
        <f t="shared" si="30"/>
        <v>8434.199</v>
      </c>
      <c r="C360" s="13">
        <f>(+'[61]Mar15loa'!$H$10)/1000</f>
        <v>6993.369</v>
      </c>
      <c r="D360" s="13">
        <f>(+'[61]Mar15loa'!$H$19)/1000</f>
        <v>1022.996</v>
      </c>
      <c r="E360" s="13">
        <f>(+'[61]Mar15loa'!$H$23)/1000</f>
        <v>417.834</v>
      </c>
      <c r="F360" s="49">
        <f>(+'[61]Mar15loa'!$I$25)/1000</f>
        <v>874.859</v>
      </c>
      <c r="G360" s="49">
        <f t="shared" si="31"/>
        <v>14082.428</v>
      </c>
      <c r="H360" s="13">
        <f>(+'[61]Mar15loa'!$H$30)/1000</f>
        <v>252.022</v>
      </c>
      <c r="I360" s="13">
        <f>(+'[61]Mar15loa'!$H$31+'[61]Mar15loa'!$H$32)/1000</f>
        <v>6358.25</v>
      </c>
      <c r="J360" s="13">
        <f>(+'[61]Mar15loa'!$H$33)/1000</f>
        <v>426.167</v>
      </c>
      <c r="K360" s="13">
        <f>(+'[61]Mar15loa'!$H$34)/1000</f>
        <v>214.157</v>
      </c>
      <c r="L360" s="13">
        <f>(+'[61]Mar15loa'!$H$35)/1000</f>
        <v>687.076</v>
      </c>
      <c r="M360" s="13">
        <f>(+'[61]Mar15loa'!$H$36)/1000</f>
        <v>162.56</v>
      </c>
      <c r="N360" s="13">
        <f>(+'[61]Mar15loa'!$H$37)/1000</f>
        <v>506.645</v>
      </c>
      <c r="O360" s="13">
        <f>(+'[61]Mar15loa'!$H$38)/1000</f>
        <v>561.036</v>
      </c>
      <c r="P360" s="13">
        <f>(+'[61]Mar15loa'!$H$39)/1000</f>
        <v>4914.515</v>
      </c>
      <c r="Q360" s="49">
        <f t="shared" si="32"/>
        <v>24498.970999999998</v>
      </c>
      <c r="R360" s="13">
        <f>(+'[61]Mar15loa'!$H$42)/1000</f>
        <v>22582.237</v>
      </c>
      <c r="S360" s="13">
        <f>(+'[61]Mar15loa'!$H$43)/1000</f>
        <v>1855.687</v>
      </c>
      <c r="T360" s="13">
        <f>(+'[61]Mar15loa'!$H$44)/1000</f>
        <v>61.047</v>
      </c>
      <c r="U360" s="49">
        <f>(+'[61]Mar15loa'!$I$46)/1000</f>
        <v>3370.194</v>
      </c>
      <c r="V360" s="49">
        <f t="shared" si="33"/>
        <v>12023.544</v>
      </c>
      <c r="W360" s="13">
        <f>(+'[61]Mar15loa'!$H$49)/1000</f>
        <v>6078.527</v>
      </c>
      <c r="X360" s="13">
        <f>(+'[61]Mar15loa'!$H$50)/1000</f>
        <v>218.562</v>
      </c>
      <c r="Y360" s="13">
        <f>(+'[61]Mar15loa'!$H$51)/1000</f>
        <v>5726.455</v>
      </c>
      <c r="Z360" s="49">
        <f>(+'[61]Mar15loa'!$I$53)/1000</f>
        <v>8435.604</v>
      </c>
      <c r="AA360" s="49">
        <f t="shared" si="34"/>
        <v>29546.022</v>
      </c>
      <c r="AB360" s="13">
        <f>(+'[61]Mar15loa'!$H$56)/1000</f>
        <v>6594.415</v>
      </c>
      <c r="AC360" s="13">
        <f>(+'[61]Mar15loa'!$H$57)/1000</f>
        <v>0</v>
      </c>
      <c r="AD360" s="13">
        <f>(+'[61]Mar15loa'!$H$58)/1000</f>
        <v>22619.707</v>
      </c>
      <c r="AE360" s="13">
        <f>(+'[61]Mar15loa'!$H$59)/1000</f>
        <v>331.9</v>
      </c>
      <c r="AF360" s="49">
        <f>(+'[61]Mar15loa'!$I$61)/1000</f>
        <v>47294.367</v>
      </c>
      <c r="AG360" s="49">
        <v>0</v>
      </c>
      <c r="AH360" s="49">
        <f>(+'[61]Mar15loa'!$I$63)/1000</f>
        <v>28955.318</v>
      </c>
      <c r="AI360" s="49">
        <f>(+'[61]Mar15loa'!$I$65)/1000</f>
        <v>1647.915</v>
      </c>
      <c r="AJ360" s="49">
        <f>(+'[61]Mar15loa'!$I$67)/1000</f>
        <v>20943.846</v>
      </c>
      <c r="AK360" s="49">
        <f>(+'[61]Mar15loa'!$I$73)/1000</f>
        <v>168043.194</v>
      </c>
      <c r="AL360" s="49">
        <f>(+'[61]Mar15loa'!$I$77)/1000</f>
        <v>14010.954</v>
      </c>
      <c r="AM360" s="14">
        <f t="shared" si="35"/>
        <v>382161.41500000004</v>
      </c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8"/>
      <c r="ED360" s="18"/>
      <c r="EE360" s="18"/>
      <c r="EF360" s="18"/>
      <c r="EG360" s="18"/>
      <c r="EH360" s="18"/>
      <c r="EI360" s="18"/>
      <c r="EJ360" s="18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</row>
    <row r="361" spans="1:159" s="19" customFormat="1" ht="15">
      <c r="A361" s="22">
        <v>42124</v>
      </c>
      <c r="B361" s="49">
        <f t="shared" si="30"/>
        <v>8597.515</v>
      </c>
      <c r="C361" s="13">
        <f>(+'[62]Apr15loa'!$H$10)/1000</f>
        <v>7167.144</v>
      </c>
      <c r="D361" s="13">
        <f>(+'[62]Apr15loa'!$H$19)/1000</f>
        <v>1016.453</v>
      </c>
      <c r="E361" s="13">
        <f>(+'[62]Apr15loa'!$H$23)/1000</f>
        <v>413.918</v>
      </c>
      <c r="F361" s="49">
        <f>(+'[62]Apr15loa'!$I$25)/1000</f>
        <v>813.902</v>
      </c>
      <c r="G361" s="49">
        <f t="shared" si="31"/>
        <v>14013.112000000001</v>
      </c>
      <c r="H361" s="13">
        <f>(+'[62]Apr15loa'!$H$30)/1000</f>
        <v>241.895</v>
      </c>
      <c r="I361" s="13">
        <f>(+'[62]Apr15loa'!$H$31+'[62]Apr15loa'!$H$32)/1000</f>
        <v>6316.422</v>
      </c>
      <c r="J361" s="13">
        <f>(+'[62]Apr15loa'!$H$33)/1000</f>
        <v>403.632</v>
      </c>
      <c r="K361" s="13">
        <f>(+'[62]Apr15loa'!$H$34)/1000</f>
        <v>209.87</v>
      </c>
      <c r="L361" s="13">
        <f>(+'[62]Apr15loa'!$H$35)/1000</f>
        <v>678.938</v>
      </c>
      <c r="M361" s="13">
        <f>(+'[62]Apr15loa'!$H$36)/1000</f>
        <v>156.2</v>
      </c>
      <c r="N361" s="13">
        <f>(+'[62]Apr15loa'!$H$37)/1000</f>
        <v>504.053</v>
      </c>
      <c r="O361" s="13">
        <f>(+'[62]Apr15loa'!$H$38)/1000</f>
        <v>606.446</v>
      </c>
      <c r="P361" s="13">
        <f>(+'[62]Apr15loa'!$H$39)/1000</f>
        <v>4895.656</v>
      </c>
      <c r="Q361" s="49">
        <f t="shared" si="32"/>
        <v>25882.681999999997</v>
      </c>
      <c r="R361" s="13">
        <f>(+'[62]Apr15loa'!$H$42)/1000</f>
        <v>23725.907</v>
      </c>
      <c r="S361" s="13">
        <f>(+'[62]Apr15loa'!$H$43)/1000</f>
        <v>2097.229</v>
      </c>
      <c r="T361" s="13">
        <f>(+'[62]Apr15loa'!$H$44)/1000</f>
        <v>59.546</v>
      </c>
      <c r="U361" s="49">
        <f>(+'[62]Apr15loa'!$I$46)/1000</f>
        <v>3444.436</v>
      </c>
      <c r="V361" s="49">
        <f t="shared" si="33"/>
        <v>11890.105</v>
      </c>
      <c r="W361" s="13">
        <f>(+'[62]Apr15loa'!$H$49)/1000</f>
        <v>5932.189</v>
      </c>
      <c r="X361" s="13">
        <f>(+'[62]Apr15loa'!$H$50)/1000</f>
        <v>207.926</v>
      </c>
      <c r="Y361" s="13">
        <f>(+'[62]Apr15loa'!$H$51)/1000</f>
        <v>5749.99</v>
      </c>
      <c r="Z361" s="49">
        <f>(+'[62]Apr15loa'!$I$53)/1000</f>
        <v>8611.603</v>
      </c>
      <c r="AA361" s="49">
        <f t="shared" si="34"/>
        <v>26452.708</v>
      </c>
      <c r="AB361" s="13">
        <f>(+'[62]Apr15loa'!$H$56)/1000</f>
        <v>3725.907</v>
      </c>
      <c r="AC361" s="13">
        <f>(+'[62]Apr15loa'!$H$57)/1000</f>
        <v>0.004</v>
      </c>
      <c r="AD361" s="13">
        <f>(+'[62]Apr15loa'!$H$58)/1000</f>
        <v>22386.621</v>
      </c>
      <c r="AE361" s="13">
        <f>(+'[62]Apr15loa'!$H$59)/1000</f>
        <v>340.176</v>
      </c>
      <c r="AF361" s="49">
        <f>(+'[62]Apr15loa'!$I$61)/1000</f>
        <v>48292.765</v>
      </c>
      <c r="AG361" s="49">
        <v>0</v>
      </c>
      <c r="AH361" s="49">
        <f>(+'[62]Apr15loa'!$I$63)/1000</f>
        <v>28554.814</v>
      </c>
      <c r="AI361" s="49">
        <f>(+'[62]Apr15loa'!$I$65)/1000</f>
        <v>1580.546</v>
      </c>
      <c r="AJ361" s="49">
        <f>(+'[62]Apr15loa'!$I$67)/1000</f>
        <v>21468.549</v>
      </c>
      <c r="AK361" s="49">
        <f>(+'[62]Apr15loa'!$I$73)/1000</f>
        <v>168953.615</v>
      </c>
      <c r="AL361" s="49">
        <f>(+'[62]Apr15loa'!$I$77)/1000</f>
        <v>13882.886</v>
      </c>
      <c r="AM361" s="14">
        <f t="shared" si="35"/>
        <v>382439.23799999995</v>
      </c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8"/>
      <c r="ED361" s="18"/>
      <c r="EE361" s="18"/>
      <c r="EF361" s="18"/>
      <c r="EG361" s="18"/>
      <c r="EH361" s="18"/>
      <c r="EI361" s="18"/>
      <c r="EJ361" s="18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</row>
    <row r="362" spans="1:159" s="19" customFormat="1" ht="15">
      <c r="A362" s="22">
        <v>42155</v>
      </c>
      <c r="B362" s="49">
        <f t="shared" si="30"/>
        <v>9040.146</v>
      </c>
      <c r="C362" s="13">
        <f>(+'[63]May15loa'!$H$10)/1000</f>
        <v>7606.837</v>
      </c>
      <c r="D362" s="13">
        <f>(+'[63]May15loa'!$H$19)/1000</f>
        <v>1019.485</v>
      </c>
      <c r="E362" s="13">
        <f>(+'[63]May15loa'!$H$23)/1000</f>
        <v>413.824</v>
      </c>
      <c r="F362" s="49">
        <f>(+'[63]May15loa'!$I$25)/1000</f>
        <v>728.931</v>
      </c>
      <c r="G362" s="49">
        <f t="shared" si="31"/>
        <v>13303.802</v>
      </c>
      <c r="H362" s="13">
        <f>(+'[63]May15loa'!$H$30)/1000</f>
        <v>240.115</v>
      </c>
      <c r="I362" s="13">
        <f>(+'[63]May15loa'!$H$31+'[63]May15loa'!$H$32)/1000</f>
        <v>6284.22</v>
      </c>
      <c r="J362" s="13">
        <f>(+'[63]May15loa'!$H$33)/1000</f>
        <v>400.674</v>
      </c>
      <c r="K362" s="13">
        <f>(+'[63]May15loa'!$H$34)/1000</f>
        <v>208.672</v>
      </c>
      <c r="L362" s="13">
        <f>(+'[63]May15loa'!$H$35)/1000</f>
        <v>682.993</v>
      </c>
      <c r="M362" s="13">
        <f>(+'[63]May15loa'!$H$36)/1000</f>
        <v>151.938</v>
      </c>
      <c r="N362" s="13">
        <f>(+'[63]May15loa'!$H$37)/1000</f>
        <v>305.021</v>
      </c>
      <c r="O362" s="13">
        <f>(+'[63]May15loa'!$H$38)/1000</f>
        <v>603.029</v>
      </c>
      <c r="P362" s="13">
        <f>(+'[63]May15loa'!$H$39)/1000</f>
        <v>4427.14</v>
      </c>
      <c r="Q362" s="49">
        <f t="shared" si="32"/>
        <v>25969.996</v>
      </c>
      <c r="R362" s="13">
        <f>(+'[63]May15loa'!$H$42)/1000</f>
        <v>23792.671</v>
      </c>
      <c r="S362" s="13">
        <f>(+'[63]May15loa'!$H$43)/1000</f>
        <v>2117.251</v>
      </c>
      <c r="T362" s="13">
        <f>(+'[63]May15loa'!$H$44)/1000</f>
        <v>60.074</v>
      </c>
      <c r="U362" s="49">
        <f>(+'[63]May15loa'!$I$46)/1000</f>
        <v>3534.115</v>
      </c>
      <c r="V362" s="49">
        <f t="shared" si="33"/>
        <v>11925.678</v>
      </c>
      <c r="W362" s="13">
        <f>(+'[63]May15loa'!$H$49)/1000</f>
        <v>5987.997</v>
      </c>
      <c r="X362" s="13">
        <f>(+'[63]May15loa'!$H$50)/1000</f>
        <v>195.301</v>
      </c>
      <c r="Y362" s="13">
        <f>(+'[63]May15loa'!$H$51)/1000</f>
        <v>5742.38</v>
      </c>
      <c r="Z362" s="49">
        <f>(+'[63]May15loa'!$I$53)/1000</f>
        <v>8353.404</v>
      </c>
      <c r="AA362" s="49">
        <f t="shared" si="34"/>
        <v>28033.782</v>
      </c>
      <c r="AB362" s="13">
        <f>(+'[63]May15loa'!$H$56)/1000</f>
        <v>3958.285</v>
      </c>
      <c r="AC362" s="13">
        <f>(+'[63]May15loa'!$H$57)/1000</f>
        <v>0</v>
      </c>
      <c r="AD362" s="13">
        <f>(+'[63]May15loa'!$H$58)/1000</f>
        <v>23739.209</v>
      </c>
      <c r="AE362" s="13">
        <f>(+'[63]May15loa'!$H$59)/1000</f>
        <v>336.288</v>
      </c>
      <c r="AF362" s="49">
        <f>(+'[63]May15loa'!$I$61)/1000</f>
        <v>48822.353</v>
      </c>
      <c r="AG362" s="49">
        <v>0</v>
      </c>
      <c r="AH362" s="49">
        <f>(+'[63]May15loa'!$I$63)/1000</f>
        <v>28556.756</v>
      </c>
      <c r="AI362" s="49">
        <f>(+'[63]May15loa'!$I$65)/1000</f>
        <v>1634.044</v>
      </c>
      <c r="AJ362" s="49">
        <f>(+'[63]May15loa'!$I$67)/1000</f>
        <v>21718.674</v>
      </c>
      <c r="AK362" s="49">
        <f>(+'[63]May15loa'!$I$73)/1000</f>
        <v>170169.169</v>
      </c>
      <c r="AL362" s="49">
        <f>(+'[63]May15loa'!$I$77)/1000</f>
        <v>13925.092</v>
      </c>
      <c r="AM362" s="14">
        <f t="shared" si="35"/>
        <v>385715.942</v>
      </c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8"/>
      <c r="ED362" s="18"/>
      <c r="EE362" s="18"/>
      <c r="EF362" s="18"/>
      <c r="EG362" s="18"/>
      <c r="EH362" s="18"/>
      <c r="EI362" s="18"/>
      <c r="EJ362" s="18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</row>
    <row r="363" spans="1:159" s="19" customFormat="1" ht="15">
      <c r="A363" s="22">
        <v>42185</v>
      </c>
      <c r="B363" s="49">
        <f t="shared" si="30"/>
        <v>8633.067</v>
      </c>
      <c r="C363" s="13">
        <f>(+'[64]Jun15loa'!$H$10)/1000</f>
        <v>7219.403</v>
      </c>
      <c r="D363" s="13">
        <f>(+'[64]Jun15loa'!$H$19)/1000</f>
        <v>999.433</v>
      </c>
      <c r="E363" s="13">
        <f>(+'[64]Jun15loa'!$H$23)/1000</f>
        <v>414.231</v>
      </c>
      <c r="F363" s="49">
        <f>(+'[64]Jun15loa'!$I$25)/1000</f>
        <v>930.109</v>
      </c>
      <c r="G363" s="49">
        <f t="shared" si="31"/>
        <v>14171.122000000001</v>
      </c>
      <c r="H363" s="13">
        <f>(+'[64]Jun15loa'!$H$30)/1000</f>
        <v>252.17</v>
      </c>
      <c r="I363" s="13">
        <f>(+'[64]Jun15loa'!$H$31+'[64]Jun15loa'!$H$32)/1000</f>
        <v>6679.587</v>
      </c>
      <c r="J363" s="13">
        <f>(+'[64]Jun15loa'!$H$33)/1000</f>
        <v>406.01</v>
      </c>
      <c r="K363" s="13">
        <f>(+'[64]Jun15loa'!$H$34)/1000</f>
        <v>210.036</v>
      </c>
      <c r="L363" s="13">
        <f>(+'[64]Jun15loa'!$H$35)/1000</f>
        <v>667.273</v>
      </c>
      <c r="M363" s="13">
        <f>(+'[64]Jun15loa'!$H$36)/1000</f>
        <v>164.662</v>
      </c>
      <c r="N363" s="13">
        <f>(+'[64]Jun15loa'!$H$37)/1000</f>
        <v>301.582</v>
      </c>
      <c r="O363" s="13">
        <f>(+'[64]Jun15loa'!$H$38)/1000</f>
        <v>609.025</v>
      </c>
      <c r="P363" s="13">
        <f>(+'[64]Jun15loa'!$H$39)/1000</f>
        <v>4880.777</v>
      </c>
      <c r="Q363" s="49">
        <f t="shared" si="32"/>
        <v>24383.189000000002</v>
      </c>
      <c r="R363" s="13">
        <f>(+'[64]Jun15loa'!$H$42)/1000</f>
        <v>22144.58</v>
      </c>
      <c r="S363" s="13">
        <f>(+'[64]Jun15loa'!$H$43)/1000</f>
        <v>2179.608</v>
      </c>
      <c r="T363" s="13">
        <f>(+'[64]Jun15loa'!$H$44)/1000</f>
        <v>59.001</v>
      </c>
      <c r="U363" s="49">
        <f>(+'[64]Jun15loa'!$I$46)/1000</f>
        <v>3574.564</v>
      </c>
      <c r="V363" s="49">
        <f t="shared" si="33"/>
        <v>11578.868</v>
      </c>
      <c r="W363" s="13">
        <f>(+'[64]Jun15loa'!$H$49)/1000</f>
        <v>5615.668</v>
      </c>
      <c r="X363" s="13">
        <f>(+'[64]Jun15loa'!$H$50)/1000</f>
        <v>183.645</v>
      </c>
      <c r="Y363" s="13">
        <f>(+'[64]Jun15loa'!$H$51)/1000</f>
        <v>5779.555</v>
      </c>
      <c r="Z363" s="49">
        <f>(+'[64]Jun15loa'!$I$53)/1000</f>
        <v>7794.72</v>
      </c>
      <c r="AA363" s="49">
        <f t="shared" si="34"/>
        <v>28548.462000000003</v>
      </c>
      <c r="AB363" s="13">
        <f>(+'[64]Jun15loa'!$H$56)/1000</f>
        <v>3909.542</v>
      </c>
      <c r="AC363" s="13">
        <f>(+'[64]Jun15loa'!$H$57)/1000</f>
        <v>0</v>
      </c>
      <c r="AD363" s="13">
        <f>(+'[64]Jun15loa'!$H$58)/1000</f>
        <v>24284.113</v>
      </c>
      <c r="AE363" s="13">
        <f>(+'[64]Jun15loa'!$H$59)/1000</f>
        <v>354.807</v>
      </c>
      <c r="AF363" s="49">
        <f>(+'[64]Jun15loa'!$I$61)/1000</f>
        <v>48873.998</v>
      </c>
      <c r="AG363" s="49">
        <v>0</v>
      </c>
      <c r="AH363" s="49">
        <f>(+'[64]Jun15loa'!$I$63)/1000</f>
        <v>29395.762</v>
      </c>
      <c r="AI363" s="49">
        <f>(+'[64]Jun15loa'!$I$65)/1000</f>
        <v>1555.683</v>
      </c>
      <c r="AJ363" s="49">
        <f>(+'[64]Jun15loa'!$I$67)/1000</f>
        <v>22490.982</v>
      </c>
      <c r="AK363" s="49">
        <f>(+'[64]Jun15loa'!$I$73)/1000</f>
        <v>171764.21</v>
      </c>
      <c r="AL363" s="49">
        <f>(+'[64]Jun15loa'!$I$77)/1000</f>
        <v>12415.405</v>
      </c>
      <c r="AM363" s="14">
        <f t="shared" si="35"/>
        <v>386110.141</v>
      </c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8"/>
      <c r="ED363" s="18"/>
      <c r="EE363" s="18"/>
      <c r="EF363" s="18"/>
      <c r="EG363" s="18"/>
      <c r="EH363" s="18"/>
      <c r="EI363" s="18"/>
      <c r="EJ363" s="18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</row>
    <row r="364" spans="1:159" s="19" customFormat="1" ht="15">
      <c r="A364" s="22">
        <v>42216</v>
      </c>
      <c r="B364" s="49">
        <f t="shared" si="30"/>
        <v>8642.404</v>
      </c>
      <c r="C364" s="13">
        <f>(+'[65]Jul15loa'!$H$10)/1000</f>
        <v>7278.693</v>
      </c>
      <c r="D364" s="13">
        <f>(+'[65]Jul15loa'!$H$19)/1000</f>
        <v>946.38</v>
      </c>
      <c r="E364" s="13">
        <f>(+'[65]Jul15loa'!$H$23)/1000</f>
        <v>417.331</v>
      </c>
      <c r="F364" s="49">
        <f>(+'[65]Jul15loa'!$I$25)/1000</f>
        <v>943.315</v>
      </c>
      <c r="G364" s="49">
        <f t="shared" si="31"/>
        <v>15010.642</v>
      </c>
      <c r="H364" s="13">
        <f>(+'[65]Jul15loa'!$H$30)/1000</f>
        <v>251.893</v>
      </c>
      <c r="I364" s="13">
        <f>(+'[65]Jul15loa'!$H$31+'[65]Jul15loa'!$H$32)/1000</f>
        <v>6429.227</v>
      </c>
      <c r="J364" s="13">
        <f>(+'[65]Jul15loa'!$H$33)/1000</f>
        <v>401.704</v>
      </c>
      <c r="K364" s="13">
        <f>(+'[65]Jul15loa'!$H$34)/1000</f>
        <v>213.337</v>
      </c>
      <c r="L364" s="13">
        <f>(+'[65]Jul15loa'!$H$35)/1000</f>
        <v>653.277</v>
      </c>
      <c r="M364" s="13">
        <f>(+'[65]Jul15loa'!$H$36)/1000</f>
        <v>137.519</v>
      </c>
      <c r="N364" s="13">
        <f>(+'[65]Jul15loa'!$H$37)/1000</f>
        <v>295.543</v>
      </c>
      <c r="O364" s="13">
        <f>(+'[65]Jul15loa'!$H$38)/1000</f>
        <v>1455.894</v>
      </c>
      <c r="P364" s="13">
        <f>(+'[65]Jul15loa'!$H$39)/1000</f>
        <v>5172.248</v>
      </c>
      <c r="Q364" s="49">
        <f t="shared" si="32"/>
        <v>24775.488999999998</v>
      </c>
      <c r="R364" s="13">
        <f>(+'[65]Jul15loa'!$H$42)/1000</f>
        <v>22532.708</v>
      </c>
      <c r="S364" s="13">
        <f>(+'[65]Jul15loa'!$H$43)/1000</f>
        <v>2183.797</v>
      </c>
      <c r="T364" s="13">
        <f>(+'[65]Jul15loa'!$H$44)/1000</f>
        <v>58.984</v>
      </c>
      <c r="U364" s="49">
        <f>(+'[65]Jul15loa'!$I$46)/1000</f>
        <v>3755.549</v>
      </c>
      <c r="V364" s="49">
        <f t="shared" si="33"/>
        <v>11454.67</v>
      </c>
      <c r="W364" s="13">
        <f>(+'[65]Jul15loa'!$H$49)/1000</f>
        <v>5480.562</v>
      </c>
      <c r="X364" s="13">
        <f>(+'[65]Jul15loa'!$H$50)/1000</f>
        <v>174.558</v>
      </c>
      <c r="Y364" s="13">
        <f>(+'[65]Jul15loa'!$H$51)/1000</f>
        <v>5799.55</v>
      </c>
      <c r="Z364" s="49">
        <f>(+'[65]Jul15loa'!$I$53)/1000</f>
        <v>11869.496</v>
      </c>
      <c r="AA364" s="49">
        <f t="shared" si="34"/>
        <v>27241.185</v>
      </c>
      <c r="AB364" s="13">
        <f>(+'[65]Jul15loa'!$H$56)/1000</f>
        <v>3923.952</v>
      </c>
      <c r="AC364" s="13">
        <f>(+'[65]Jul15loa'!$H$57)/1000</f>
        <v>0</v>
      </c>
      <c r="AD364" s="13">
        <f>(+'[65]Jul15loa'!$H$58)/1000</f>
        <v>22935.053</v>
      </c>
      <c r="AE364" s="13">
        <f>(+'[65]Jul15loa'!$H$59)/1000</f>
        <v>382.18</v>
      </c>
      <c r="AF364" s="49">
        <f>(+'[65]Jul15loa'!$I$61)/1000</f>
        <v>49875.76</v>
      </c>
      <c r="AG364" s="49">
        <v>0</v>
      </c>
      <c r="AH364" s="49">
        <f>(+'[65]Jul15loa'!$I$63)/1000</f>
        <v>29612.656</v>
      </c>
      <c r="AI364" s="49">
        <f>(+'[65]Jul15loa'!$I$65)/1000</f>
        <v>1565.591</v>
      </c>
      <c r="AJ364" s="49">
        <f>(+'[65]Jul15loa'!$I$67)/1000</f>
        <v>22674.465</v>
      </c>
      <c r="AK364" s="49">
        <f>(+'[65]Jul15loa'!$I$73)/1000</f>
        <v>172743.922</v>
      </c>
      <c r="AL364" s="49">
        <f>(+'[65]Jul15loa'!$I$77)/1000</f>
        <v>12476.291</v>
      </c>
      <c r="AM364" s="14">
        <f t="shared" si="35"/>
        <v>392641.435</v>
      </c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8"/>
      <c r="ED364" s="18"/>
      <c r="EE364" s="18"/>
      <c r="EF364" s="18"/>
      <c r="EG364" s="18"/>
      <c r="EH364" s="18"/>
      <c r="EI364" s="18"/>
      <c r="EJ364" s="18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</row>
    <row r="365" spans="1:159" s="19" customFormat="1" ht="15">
      <c r="A365" s="22">
        <v>42247</v>
      </c>
      <c r="B365" s="49">
        <f t="shared" si="30"/>
        <v>8895.851</v>
      </c>
      <c r="C365" s="13">
        <f>(+'[66]Aug15loa'!$H$10)/1000</f>
        <v>7147.831</v>
      </c>
      <c r="D365" s="13">
        <f>(+'[66]Aug15loa'!$H$19)/1000</f>
        <v>1334.643</v>
      </c>
      <c r="E365" s="13">
        <f>(+'[66]Aug15loa'!$H$23)/1000</f>
        <v>413.377</v>
      </c>
      <c r="F365" s="49">
        <f>(+'[66]Aug15loa'!$I$25)/1000</f>
        <v>974.305</v>
      </c>
      <c r="G365" s="49">
        <f t="shared" si="31"/>
        <v>15316.085</v>
      </c>
      <c r="H365" s="13">
        <f>(+'[66]Aug15loa'!$H$30)/1000</f>
        <v>245.807</v>
      </c>
      <c r="I365" s="13">
        <f>(+'[66]Aug15loa'!$H$31+'[66]Aug15loa'!$H$32)/1000</f>
        <v>6815.287</v>
      </c>
      <c r="J365" s="13">
        <f>(+'[66]Aug15loa'!$H$33)/1000</f>
        <v>409.053</v>
      </c>
      <c r="K365" s="13">
        <f>(+'[66]Aug15loa'!$H$34)/1000</f>
        <v>213.134</v>
      </c>
      <c r="L365" s="13">
        <f>(+'[66]Aug15loa'!$H$35)/1000</f>
        <v>647.781</v>
      </c>
      <c r="M365" s="13">
        <f>(+'[66]Aug15loa'!$H$36)/1000</f>
        <v>155.545</v>
      </c>
      <c r="N365" s="13">
        <f>(+'[66]Aug15loa'!$H$37)/1000</f>
        <v>262.916</v>
      </c>
      <c r="O365" s="13">
        <f>(+'[66]Aug15loa'!$H$38)/1000</f>
        <v>1461.196</v>
      </c>
      <c r="P365" s="13">
        <f>(+'[66]Aug15loa'!$H$39)/1000</f>
        <v>5105.366</v>
      </c>
      <c r="Q365" s="49">
        <f t="shared" si="32"/>
        <v>25525.451</v>
      </c>
      <c r="R365" s="13">
        <f>(+'[66]Aug15loa'!$H$42)/1000</f>
        <v>23486.06</v>
      </c>
      <c r="S365" s="13">
        <f>(+'[66]Aug15loa'!$H$43)/1000</f>
        <v>1981.296</v>
      </c>
      <c r="T365" s="13">
        <f>(+'[66]Aug15loa'!$H$44)/1000</f>
        <v>58.095</v>
      </c>
      <c r="U365" s="49">
        <f>(+'[66]Aug15loa'!$I$46)/1000</f>
        <v>4163.935</v>
      </c>
      <c r="V365" s="49">
        <f t="shared" si="33"/>
        <v>11337.741999999998</v>
      </c>
      <c r="W365" s="13">
        <f>(+'[66]Aug15loa'!$H$49)/1000</f>
        <v>5422.472</v>
      </c>
      <c r="X365" s="13">
        <f>(+'[66]Aug15loa'!$H$50)/1000</f>
        <v>173.602</v>
      </c>
      <c r="Y365" s="13">
        <f>(+'[66]Aug15loa'!$H$51)/1000</f>
        <v>5741.668</v>
      </c>
      <c r="Z365" s="49">
        <f>(+'[66]Aug15loa'!$I$53)/1000</f>
        <v>11757.982</v>
      </c>
      <c r="AA365" s="49">
        <f t="shared" si="34"/>
        <v>28859.296000000002</v>
      </c>
      <c r="AB365" s="13">
        <f>(+'[66]Aug15loa'!$H$56)/1000</f>
        <v>3882.767</v>
      </c>
      <c r="AC365" s="13">
        <f>(+'[66]Aug15loa'!$H$57)/1000</f>
        <v>0</v>
      </c>
      <c r="AD365" s="13">
        <f>(+'[66]Aug15loa'!$H$58)/1000</f>
        <v>24626.705</v>
      </c>
      <c r="AE365" s="13">
        <f>(+'[66]Aug15loa'!$H$59)/1000</f>
        <v>349.824</v>
      </c>
      <c r="AF365" s="49">
        <f>(+'[66]Aug15loa'!$I$61)/1000</f>
        <v>49006.541</v>
      </c>
      <c r="AG365" s="49">
        <v>0</v>
      </c>
      <c r="AH365" s="49">
        <f>(+'[66]Aug15loa'!$I$63)/1000</f>
        <v>30086.633</v>
      </c>
      <c r="AI365" s="49">
        <f>(+'[66]Aug15loa'!$I$65)/1000</f>
        <v>1403.681</v>
      </c>
      <c r="AJ365" s="49">
        <f>(+'[66]Aug15loa'!$I$67)/1000</f>
        <v>23575.114</v>
      </c>
      <c r="AK365" s="49">
        <f>(+'[66]Aug15loa'!$I$73)/1000</f>
        <v>174305.829</v>
      </c>
      <c r="AL365" s="49">
        <f>(+'[66]Aug15loa'!$I$77)/1000</f>
        <v>16199.432</v>
      </c>
      <c r="AM365" s="14">
        <f t="shared" si="35"/>
        <v>401407.8770000001</v>
      </c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8"/>
      <c r="ED365" s="18"/>
      <c r="EE365" s="18"/>
      <c r="EF365" s="18"/>
      <c r="EG365" s="18"/>
      <c r="EH365" s="18"/>
      <c r="EI365" s="18"/>
      <c r="EJ365" s="18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</row>
    <row r="366" spans="1:159" s="19" customFormat="1" ht="15">
      <c r="A366" s="22">
        <v>42277</v>
      </c>
      <c r="B366" s="49">
        <f t="shared" si="30"/>
        <v>9232.86</v>
      </c>
      <c r="C366" s="13">
        <f>(+'[67]Sep15loa'!$H$10)/1000</f>
        <v>7494.405</v>
      </c>
      <c r="D366" s="13">
        <f>(+'[67]Sep15loa'!$H$19)/1000</f>
        <v>1328.953</v>
      </c>
      <c r="E366" s="13">
        <f>(+'[67]Sep15loa'!$H$23)/1000</f>
        <v>409.502</v>
      </c>
      <c r="F366" s="49">
        <f>(+'[67]Sep15loa'!$I$25)/1000</f>
        <v>887.66</v>
      </c>
      <c r="G366" s="49">
        <f t="shared" si="31"/>
        <v>15665.369999999999</v>
      </c>
      <c r="H366" s="13">
        <f>(+'[67]Sep15loa'!$H$30)/1000</f>
        <v>250.156</v>
      </c>
      <c r="I366" s="13">
        <f>(+'[67]Sep15loa'!$H$31+'[67]Sep15loa'!$H$32)/1000</f>
        <v>7141.037</v>
      </c>
      <c r="J366" s="13">
        <f>(+'[67]Sep15loa'!$H$33)/1000</f>
        <v>512.843</v>
      </c>
      <c r="K366" s="13">
        <f>(+'[67]Sep15loa'!$H$34)/1000</f>
        <v>214.996</v>
      </c>
      <c r="L366" s="13">
        <f>(+'[67]Sep15loa'!$H$35)/1000</f>
        <v>637.905</v>
      </c>
      <c r="M366" s="13">
        <f>(+'[67]Sep15loa'!$H$36)/1000</f>
        <v>171.802</v>
      </c>
      <c r="N366" s="13">
        <f>(+'[67]Sep15loa'!$H$37)/1000</f>
        <v>257.044</v>
      </c>
      <c r="O366" s="13">
        <f>(+'[67]Sep15loa'!$H$38)/1000</f>
        <v>1510.852</v>
      </c>
      <c r="P366" s="13">
        <f>(+'[67]Sep15loa'!$H$39)/1000</f>
        <v>4968.735</v>
      </c>
      <c r="Q366" s="49">
        <f t="shared" si="32"/>
        <v>24818.141999999996</v>
      </c>
      <c r="R366" s="13">
        <f>(+'[67]Sep15loa'!$H$42)/1000</f>
        <v>22828.691</v>
      </c>
      <c r="S366" s="13">
        <f>(+'[67]Sep15loa'!$H$43)/1000</f>
        <v>1931.942</v>
      </c>
      <c r="T366" s="13">
        <f>(+'[67]Sep15loa'!$H$44)/1000</f>
        <v>57.509</v>
      </c>
      <c r="U366" s="49">
        <f>(+'[67]Sep15loa'!$I$46)/1000</f>
        <v>4246.002</v>
      </c>
      <c r="V366" s="49">
        <f t="shared" si="33"/>
        <v>10640.963</v>
      </c>
      <c r="W366" s="13">
        <f>(+'[67]Sep15loa'!$H$49)/1000</f>
        <v>5245.718</v>
      </c>
      <c r="X366" s="13">
        <f>(+'[67]Sep15loa'!$H$50)/1000</f>
        <v>227.003</v>
      </c>
      <c r="Y366" s="13">
        <f>(+'[67]Sep15loa'!$H$51)/1000</f>
        <v>5168.242</v>
      </c>
      <c r="Z366" s="49">
        <f>(+'[67]Sep15loa'!$I$53)/1000</f>
        <v>11812.064</v>
      </c>
      <c r="AA366" s="49">
        <f t="shared" si="34"/>
        <v>28514.704</v>
      </c>
      <c r="AB366" s="13">
        <f>(+'[67]Sep15loa'!$H$56)/1000</f>
        <v>3860.402</v>
      </c>
      <c r="AC366" s="13">
        <f>(+'[67]Sep15loa'!$H$57)/1000</f>
        <v>0.001</v>
      </c>
      <c r="AD366" s="13">
        <f>(+'[67]Sep15loa'!$H$58)/1000</f>
        <v>24309.825</v>
      </c>
      <c r="AE366" s="13">
        <f>(+'[67]Sep15loa'!$H$59)/1000</f>
        <v>344.476</v>
      </c>
      <c r="AF366" s="49">
        <f>(+'[67]Sep15loa'!$I$61)/1000</f>
        <v>49846.552</v>
      </c>
      <c r="AG366" s="49">
        <v>0</v>
      </c>
      <c r="AH366" s="49">
        <f>(+'[67]Sep15loa'!$I$63)/1000</f>
        <v>30611.94</v>
      </c>
      <c r="AI366" s="49">
        <f>(+'[67]Sep15loa'!$I$65)/1000</f>
        <v>1504.688</v>
      </c>
      <c r="AJ366" s="49">
        <f>(+'[67]Sep15loa'!$I$67)/1000</f>
        <v>24917.648</v>
      </c>
      <c r="AK366" s="49">
        <f>(+'[67]Sep15loa'!$I$73)/1000</f>
        <v>176129.455</v>
      </c>
      <c r="AL366" s="49">
        <f>(+'[67]Sep15loa'!$I$77)/1000</f>
        <v>16048.707</v>
      </c>
      <c r="AM366" s="14">
        <f t="shared" si="35"/>
        <v>404876.75499999995</v>
      </c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8"/>
      <c r="ED366" s="18"/>
      <c r="EE366" s="18"/>
      <c r="EF366" s="18"/>
      <c r="EG366" s="18"/>
      <c r="EH366" s="18"/>
      <c r="EI366" s="18"/>
      <c r="EJ366" s="18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</row>
    <row r="367" spans="1:159" s="19" customFormat="1" ht="15">
      <c r="A367" s="22">
        <v>42308</v>
      </c>
      <c r="B367" s="49">
        <f t="shared" si="30"/>
        <v>9260.733</v>
      </c>
      <c r="C367" s="13">
        <f>(+'[68]Oct15loa'!$H$10)/1000</f>
        <v>7560.44</v>
      </c>
      <c r="D367" s="13">
        <f>(+'[68]Oct15loa'!$H$19)/1000</f>
        <v>1289.9</v>
      </c>
      <c r="E367" s="13">
        <f>(+'[68]Oct15loa'!$H$23)/1000</f>
        <v>410.393</v>
      </c>
      <c r="F367" s="49">
        <f>(+'[68]Oct15loa'!$I$25)/1000</f>
        <v>813.346</v>
      </c>
      <c r="G367" s="49">
        <f t="shared" si="31"/>
        <v>16434.17</v>
      </c>
      <c r="H367" s="13">
        <f>(+'[68]Oct15loa'!$H$30)/1000</f>
        <v>233.216</v>
      </c>
      <c r="I367" s="13">
        <f>(+'[68]Oct15loa'!$H$31+'[68]Oct15loa'!$H$32)/1000</f>
        <v>8018.245</v>
      </c>
      <c r="J367" s="13">
        <f>(+'[68]Oct15loa'!$H$33)/1000</f>
        <v>523.951</v>
      </c>
      <c r="K367" s="13">
        <f>(+'[68]Oct15loa'!$H$34)/1000</f>
        <v>238.999</v>
      </c>
      <c r="L367" s="13">
        <f>(+'[68]Oct15loa'!$H$35)/1000</f>
        <v>626.271</v>
      </c>
      <c r="M367" s="13">
        <f>(+'[68]Oct15loa'!$H$36)/1000</f>
        <v>175.657</v>
      </c>
      <c r="N367" s="13">
        <f>(+'[68]Oct15loa'!$H$37)/1000</f>
        <v>245.995</v>
      </c>
      <c r="O367" s="13">
        <f>(+'[68]Oct15loa'!$H$38)/1000</f>
        <v>1513.14</v>
      </c>
      <c r="P367" s="13">
        <f>(+'[68]Oct15loa'!$H$39)/1000</f>
        <v>4858.696</v>
      </c>
      <c r="Q367" s="49">
        <f t="shared" si="32"/>
        <v>27120.998</v>
      </c>
      <c r="R367" s="13">
        <f>(+'[68]Oct15loa'!$H$42)/1000</f>
        <v>25130.715</v>
      </c>
      <c r="S367" s="13">
        <f>(+'[68]Oct15loa'!$H$43)/1000</f>
        <v>1932.211</v>
      </c>
      <c r="T367" s="13">
        <f>(+'[68]Oct15loa'!$H$44)/1000</f>
        <v>58.072</v>
      </c>
      <c r="U367" s="49">
        <f>(+'[68]Oct15loa'!$I$46)/1000</f>
        <v>4314.216</v>
      </c>
      <c r="V367" s="49">
        <f t="shared" si="33"/>
        <v>10501.692</v>
      </c>
      <c r="W367" s="13">
        <f>(+'[68]Oct15loa'!$H$49)/1000</f>
        <v>5191.623</v>
      </c>
      <c r="X367" s="13">
        <f>(+'[68]Oct15loa'!$H$50)/1000</f>
        <v>216.081</v>
      </c>
      <c r="Y367" s="13">
        <f>(+'[68]Oct15loa'!$H$51)/1000</f>
        <v>5093.988</v>
      </c>
      <c r="Z367" s="49">
        <f>(+'[68]Oct15loa'!$I$53)/1000</f>
        <v>9519.73</v>
      </c>
      <c r="AA367" s="49">
        <f t="shared" si="34"/>
        <v>30202.019</v>
      </c>
      <c r="AB367" s="13">
        <f>(+'[68]Oct15loa'!$H$56)/1000</f>
        <v>3782.904</v>
      </c>
      <c r="AC367" s="13">
        <f>(+'[68]Oct15loa'!$H$57)/1000</f>
        <v>0.043</v>
      </c>
      <c r="AD367" s="13">
        <f>(+'[68]Oct15loa'!$H$58)/1000</f>
        <v>26069.57</v>
      </c>
      <c r="AE367" s="13">
        <f>(+'[68]Oct15loa'!$H$59)/1000</f>
        <v>349.502</v>
      </c>
      <c r="AF367" s="49">
        <f>(+'[68]Oct15loa'!$I$61)/1000</f>
        <v>50564.914</v>
      </c>
      <c r="AG367" s="49">
        <v>0</v>
      </c>
      <c r="AH367" s="49">
        <f>(+'[68]Oct15loa'!$I$63)/1000</f>
        <v>32366.036</v>
      </c>
      <c r="AI367" s="49">
        <f>(+'[68]Oct15loa'!$I$65)/1000</f>
        <v>1556.564</v>
      </c>
      <c r="AJ367" s="49">
        <f>(+'[68]Oct15loa'!$I$67)/1000</f>
        <v>25965.272</v>
      </c>
      <c r="AK367" s="49">
        <f>(+'[68]Oct15loa'!$I$73)/1000</f>
        <v>178010.406</v>
      </c>
      <c r="AL367" s="49">
        <f>(+'[68]Oct15loa'!$I$77)/1000</f>
        <v>12974.935</v>
      </c>
      <c r="AM367" s="14">
        <f t="shared" si="35"/>
        <v>409605.031</v>
      </c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8"/>
      <c r="ED367" s="18"/>
      <c r="EE367" s="18"/>
      <c r="EF367" s="18"/>
      <c r="EG367" s="18"/>
      <c r="EH367" s="18"/>
      <c r="EI367" s="18"/>
      <c r="EJ367" s="18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</row>
    <row r="368" spans="1:159" s="19" customFormat="1" ht="15">
      <c r="A368" s="22">
        <v>42338</v>
      </c>
      <c r="B368" s="49">
        <f t="shared" si="30"/>
        <v>9433.657</v>
      </c>
      <c r="C368" s="13">
        <f>(+'[69]Nov15loa'!$H$10)/1000</f>
        <v>7802.901</v>
      </c>
      <c r="D368" s="13">
        <f>(+'[69]Nov15loa'!$H$19)/1000</f>
        <v>1236.032</v>
      </c>
      <c r="E368" s="13">
        <f>(+'[69]Nov15loa'!$H$23)/1000</f>
        <v>394.724</v>
      </c>
      <c r="F368" s="49">
        <f>(+'[69]Nov15loa'!$I$25)/1000</f>
        <v>793.242</v>
      </c>
      <c r="G368" s="49">
        <f t="shared" si="31"/>
        <v>16395.709</v>
      </c>
      <c r="H368" s="13">
        <f>(+'[69]Nov15loa'!$H$30)/1000</f>
        <v>240.683</v>
      </c>
      <c r="I368" s="13">
        <f>(+'[69]Nov15loa'!$H$31+'[69]Nov15loa'!$H$32)/1000</f>
        <v>7938.88</v>
      </c>
      <c r="J368" s="13">
        <f>(+'[69]Nov15loa'!$H$33)/1000</f>
        <v>536.296</v>
      </c>
      <c r="K368" s="13">
        <f>(+'[69]Nov15loa'!$H$34)/1000</f>
        <v>245.346</v>
      </c>
      <c r="L368" s="13">
        <f>(+'[69]Nov15loa'!$H$35)/1000</f>
        <v>630.313</v>
      </c>
      <c r="M368" s="13">
        <f>(+'[69]Nov15loa'!$H$36)/1000</f>
        <v>171.821</v>
      </c>
      <c r="N368" s="13">
        <f>(+'[69]Nov15loa'!$H$37)/1000</f>
        <v>255.639</v>
      </c>
      <c r="O368" s="13">
        <f>(+'[69]Nov15loa'!$H$38)/1000</f>
        <v>1513.673</v>
      </c>
      <c r="P368" s="13">
        <f>(+'[69]Nov15loa'!$H$39)/1000</f>
        <v>4863.058</v>
      </c>
      <c r="Q368" s="49">
        <f t="shared" si="32"/>
        <v>25690.828</v>
      </c>
      <c r="R368" s="13">
        <f>(+'[69]Nov15loa'!$H$42)/1000</f>
        <v>22927.274</v>
      </c>
      <c r="S368" s="13">
        <f>(+'[69]Nov15loa'!$H$43)/1000</f>
        <v>2184.301</v>
      </c>
      <c r="T368" s="13">
        <f>(+'[69]Nov15loa'!$H$44)/1000</f>
        <v>579.253</v>
      </c>
      <c r="U368" s="49">
        <f>(+'[69]Nov15loa'!$I$46)/1000</f>
        <v>4371.777</v>
      </c>
      <c r="V368" s="49">
        <f t="shared" si="33"/>
        <v>10768.928</v>
      </c>
      <c r="W368" s="13">
        <f>(+'[69]Nov15loa'!$H$49)/1000</f>
        <v>5413.051</v>
      </c>
      <c r="X368" s="13">
        <f>(+'[69]Nov15loa'!$H$50)/1000</f>
        <v>262.608</v>
      </c>
      <c r="Y368" s="13">
        <f>(+'[69]Nov15loa'!$H$51)/1000</f>
        <v>5093.269</v>
      </c>
      <c r="Z368" s="49">
        <f>(+'[69]Nov15loa'!$I$53)/1000</f>
        <v>12125.806</v>
      </c>
      <c r="AA368" s="49">
        <f t="shared" si="34"/>
        <v>29167.858</v>
      </c>
      <c r="AB368" s="13">
        <f>(+'[69]Nov15loa'!$H$56)/1000</f>
        <v>3807.373</v>
      </c>
      <c r="AC368" s="13">
        <f>(+'[69]Nov15loa'!$H$57)/1000</f>
        <v>0</v>
      </c>
      <c r="AD368" s="13">
        <f>(+'[69]Nov15loa'!$H$58)/1000</f>
        <v>25053.108</v>
      </c>
      <c r="AE368" s="13">
        <f>(+'[69]Nov15loa'!$H$59)/1000</f>
        <v>307.377</v>
      </c>
      <c r="AF368" s="49">
        <f>(+'[69]Nov15loa'!$I$61)/1000</f>
        <v>51053.056</v>
      </c>
      <c r="AG368" s="49">
        <v>0</v>
      </c>
      <c r="AH368" s="49">
        <f>(+'[69]Nov15loa'!$I$63)/1000</f>
        <v>33102.802</v>
      </c>
      <c r="AI368" s="49">
        <f>(+'[69]Nov15loa'!$I$65)/1000</f>
        <v>1579.183</v>
      </c>
      <c r="AJ368" s="49">
        <f>(+'[69]Nov15loa'!$I$67)/1000</f>
        <v>25949.311</v>
      </c>
      <c r="AK368" s="49">
        <f>(+'[69]Nov15loa'!$I$73)/1000</f>
        <v>180151.605</v>
      </c>
      <c r="AL368" s="49">
        <f>(+'[69]Nov15loa'!$I$77)/1000</f>
        <v>14462.331</v>
      </c>
      <c r="AM368" s="14">
        <f t="shared" si="35"/>
        <v>415046.093</v>
      </c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8"/>
      <c r="ED368" s="18"/>
      <c r="EE368" s="18"/>
      <c r="EF368" s="18"/>
      <c r="EG368" s="18"/>
      <c r="EH368" s="18"/>
      <c r="EI368" s="18"/>
      <c r="EJ368" s="18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</row>
    <row r="369" spans="1:159" s="19" customFormat="1" ht="15">
      <c r="A369" s="22">
        <v>42369</v>
      </c>
      <c r="B369" s="49">
        <f t="shared" si="30"/>
        <v>9044.347</v>
      </c>
      <c r="C369" s="13">
        <f>(+'[70]Dec15loa'!$H$10)/1000</f>
        <v>7711.129</v>
      </c>
      <c r="D369" s="13">
        <f>(+'[70]Dec15loa'!$H$19)/1000</f>
        <v>1220.812</v>
      </c>
      <c r="E369" s="13">
        <f>(+'[70]Dec15loa'!$H$23)/1000</f>
        <v>112.406</v>
      </c>
      <c r="F369" s="49">
        <f>(+'[70]Dec15loa'!$I$25)/1000</f>
        <v>786.895</v>
      </c>
      <c r="G369" s="49">
        <f t="shared" si="31"/>
        <v>15823.091</v>
      </c>
      <c r="H369" s="13">
        <f>(+'[70]Dec15loa'!$H$30)/1000</f>
        <v>252.509</v>
      </c>
      <c r="I369" s="13">
        <f>(+'[70]Dec15loa'!$H$31+'[70]Dec15loa'!$H$32)/1000</f>
        <v>7623.599</v>
      </c>
      <c r="J369" s="13">
        <f>(+'[70]Dec15loa'!$H$33)/1000</f>
        <v>507.686</v>
      </c>
      <c r="K369" s="13">
        <f>(+'[70]Dec15loa'!$H$34)/1000</f>
        <v>248.178</v>
      </c>
      <c r="L369" s="13">
        <f>(+'[70]Dec15loa'!$H$35)/1000</f>
        <v>630.549</v>
      </c>
      <c r="M369" s="13">
        <f>(+'[70]Dec15loa'!$H$36)/1000</f>
        <v>166.522</v>
      </c>
      <c r="N369" s="13">
        <f>(+'[70]Dec15loa'!$H$37)/1000</f>
        <v>241.551</v>
      </c>
      <c r="O369" s="13">
        <f>(+'[70]Dec15loa'!$H$38)/1000</f>
        <v>1522.267</v>
      </c>
      <c r="P369" s="13">
        <f>(+'[70]Dec15loa'!$H$39)/1000</f>
        <v>4630.23</v>
      </c>
      <c r="Q369" s="49">
        <f t="shared" si="32"/>
        <v>26157.034999999996</v>
      </c>
      <c r="R369" s="13">
        <f>(+'[70]Dec15loa'!$H$42)/1000</f>
        <v>23372.171</v>
      </c>
      <c r="S369" s="13">
        <f>(+'[70]Dec15loa'!$H$43)/1000</f>
        <v>2203.835</v>
      </c>
      <c r="T369" s="13">
        <f>(+'[70]Dec15loa'!$H$44)/1000</f>
        <v>581.029</v>
      </c>
      <c r="U369" s="49">
        <f>(+'[70]Dec15loa'!$I$46)/1000</f>
        <v>4741.276</v>
      </c>
      <c r="V369" s="49">
        <f t="shared" si="33"/>
        <v>11010.499</v>
      </c>
      <c r="W369" s="13">
        <f>(+'[70]Dec15loa'!$H$49)/1000</f>
        <v>5656.352</v>
      </c>
      <c r="X369" s="13">
        <f>(+'[70]Dec15loa'!$H$50)/1000</f>
        <v>254.998</v>
      </c>
      <c r="Y369" s="13">
        <f>(+'[70]Dec15loa'!$H$51)/1000</f>
        <v>5099.149</v>
      </c>
      <c r="Z369" s="49">
        <f>(+'[70]Dec15loa'!$I$53)/1000</f>
        <v>11347.213</v>
      </c>
      <c r="AA369" s="49">
        <f t="shared" si="34"/>
        <v>25855.666999999998</v>
      </c>
      <c r="AB369" s="13">
        <f>(+'[70]Dec15loa'!$H$56)/1000</f>
        <v>3772.917</v>
      </c>
      <c r="AC369" s="13">
        <f>(+'[70]Dec15loa'!$H$57)/1000</f>
        <v>0.163</v>
      </c>
      <c r="AD369" s="13">
        <f>(+'[70]Dec15loa'!$H$58)/1000</f>
        <v>21837.181</v>
      </c>
      <c r="AE369" s="13">
        <f>(+'[70]Dec15loa'!$H$59)/1000</f>
        <v>245.406</v>
      </c>
      <c r="AF369" s="49">
        <f>(+'[70]Dec15loa'!$I$61)/1000</f>
        <v>50815.692</v>
      </c>
      <c r="AG369" s="49">
        <v>0</v>
      </c>
      <c r="AH369" s="49">
        <f>(+'[70]Dec15loa'!$I$63)/1000</f>
        <v>33794.971</v>
      </c>
      <c r="AI369" s="49">
        <f>(+'[70]Dec15loa'!$I$65)/1000</f>
        <v>1609.149</v>
      </c>
      <c r="AJ369" s="49">
        <f>(+'[70]Dec15loa'!$I$67)/1000</f>
        <v>27399.764</v>
      </c>
      <c r="AK369" s="49">
        <f>(+'[70]Dec15loa'!$I$73)/1000</f>
        <v>181535.281</v>
      </c>
      <c r="AL369" s="49">
        <f>(+'[70]Dec15loa'!$I$77)/1000</f>
        <v>14230.534</v>
      </c>
      <c r="AM369" s="14">
        <f t="shared" si="35"/>
        <v>414151.414</v>
      </c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8"/>
      <c r="ED369" s="18"/>
      <c r="EE369" s="18"/>
      <c r="EF369" s="18"/>
      <c r="EG369" s="18"/>
      <c r="EH369" s="18"/>
      <c r="EI369" s="18"/>
      <c r="EJ369" s="18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</row>
    <row r="370" spans="1:159" s="19" customFormat="1" ht="15">
      <c r="A370" s="22">
        <v>42400</v>
      </c>
      <c r="B370" s="49">
        <f t="shared" si="30"/>
        <v>9778.161</v>
      </c>
      <c r="C370" s="13">
        <f>(+'[71]Jan16loa'!$H$10)/1000</f>
        <v>8479.257</v>
      </c>
      <c r="D370" s="13">
        <f>(+'[71]Jan16loa'!$H$19)/1000</f>
        <v>1188.894</v>
      </c>
      <c r="E370" s="13">
        <f>(+'[71]Jan16loa'!$H$23)/1000</f>
        <v>110.01</v>
      </c>
      <c r="F370" s="49">
        <f>(+'[71]Jan16loa'!$I$25)/1000</f>
        <v>786.237</v>
      </c>
      <c r="G370" s="49">
        <f t="shared" si="31"/>
        <v>18435.637</v>
      </c>
      <c r="H370" s="13">
        <f>(+'[71]Jan16loa'!$H$30)/1000</f>
        <v>24.67</v>
      </c>
      <c r="I370" s="13">
        <f>(+'[71]Jan16loa'!$H$31+'[71]Jan16loa'!$H$32)/1000</f>
        <v>10601.655</v>
      </c>
      <c r="J370" s="13">
        <f>(+'[71]Jan16loa'!$H$33)/1000</f>
        <v>514.48</v>
      </c>
      <c r="K370" s="13">
        <f>(+'[71]Jan16loa'!$H$34)/1000</f>
        <v>247.075</v>
      </c>
      <c r="L370" s="13">
        <f>(+'[71]Jan16loa'!$H$35)/1000</f>
        <v>567.987</v>
      </c>
      <c r="M370" s="13">
        <f>(+'[71]Jan16loa'!$H$36)/1000</f>
        <v>172.528</v>
      </c>
      <c r="N370" s="13">
        <f>(+'[71]Jan16loa'!$H$37)/1000</f>
        <v>204.265</v>
      </c>
      <c r="O370" s="13">
        <f>(+'[71]Jan16loa'!$H$38)/1000</f>
        <v>1559.215</v>
      </c>
      <c r="P370" s="13">
        <f>(+'[71]Jan16loa'!$H$39)/1000</f>
        <v>4543.762</v>
      </c>
      <c r="Q370" s="49">
        <f t="shared" si="32"/>
        <v>23541.358999999997</v>
      </c>
      <c r="R370" s="13">
        <f>(+'[71]Jan16loa'!$H$42)/1000</f>
        <v>20742.635</v>
      </c>
      <c r="S370" s="13">
        <f>(+'[71]Jan16loa'!$H$43)/1000</f>
        <v>2214.011</v>
      </c>
      <c r="T370" s="13">
        <f>(+'[71]Jan16loa'!$H$44)/1000</f>
        <v>584.713</v>
      </c>
      <c r="U370" s="49">
        <f>(+'[71]Jan16loa'!$I$46)/1000</f>
        <v>4906.922</v>
      </c>
      <c r="V370" s="49">
        <f t="shared" si="33"/>
        <v>11071.973000000002</v>
      </c>
      <c r="W370" s="13">
        <f>(+'[71]Jan16loa'!$H$49)/1000</f>
        <v>5657.828</v>
      </c>
      <c r="X370" s="13">
        <f>(+'[71]Jan16loa'!$H$50)/1000</f>
        <v>265.63</v>
      </c>
      <c r="Y370" s="13">
        <f>(+'[71]Jan16loa'!$H$51)/1000</f>
        <v>5148.515</v>
      </c>
      <c r="Z370" s="49">
        <f>(+'[71]Jan16loa'!$I$53)/1000</f>
        <v>11165.791</v>
      </c>
      <c r="AA370" s="49">
        <f t="shared" si="34"/>
        <v>29158.065</v>
      </c>
      <c r="AB370" s="13">
        <f>(+'[71]Jan16loa'!$H$56)/1000</f>
        <v>3642.206</v>
      </c>
      <c r="AC370" s="13">
        <f>(+'[71]Jan16loa'!$H$57)/1000</f>
        <v>0.005</v>
      </c>
      <c r="AD370" s="13">
        <f>(+'[71]Jan16loa'!$H$58)/1000</f>
        <v>25267.6</v>
      </c>
      <c r="AE370" s="13">
        <f>(+'[71]Jan16loa'!$H$59)/1000</f>
        <v>248.254</v>
      </c>
      <c r="AF370" s="49">
        <f>(+'[71]Jan16loa'!$I$61)/1000</f>
        <v>50637.848</v>
      </c>
      <c r="AG370" s="49">
        <v>0</v>
      </c>
      <c r="AH370" s="49">
        <f>(+'[71]Jan16loa'!$I$63)/1000</f>
        <v>33738.303</v>
      </c>
      <c r="AI370" s="49">
        <f>(+'[71]Jan16loa'!$I$65)/1000</f>
        <v>1585.691</v>
      </c>
      <c r="AJ370" s="49">
        <f>(+'[71]Jan16loa'!$I$67)/1000</f>
        <v>26745.276</v>
      </c>
      <c r="AK370" s="49">
        <f>(+'[71]Jan16loa'!$I$73)/1000</f>
        <v>182812.147</v>
      </c>
      <c r="AL370" s="49">
        <f>(+'[71]Jan16loa'!$I$77)/1000</f>
        <v>14301.418</v>
      </c>
      <c r="AM370" s="14">
        <f t="shared" si="35"/>
        <v>418664.828</v>
      </c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8"/>
      <c r="ED370" s="18"/>
      <c r="EE370" s="18"/>
      <c r="EF370" s="18"/>
      <c r="EG370" s="18"/>
      <c r="EH370" s="18"/>
      <c r="EI370" s="18"/>
      <c r="EJ370" s="18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</row>
    <row r="371" spans="1:159" s="19" customFormat="1" ht="15">
      <c r="A371" s="22">
        <v>42429</v>
      </c>
      <c r="B371" s="49">
        <f t="shared" si="30"/>
        <v>10237.475</v>
      </c>
      <c r="C371" s="13">
        <f>(+'[72]Feb16loa'!$H$10)/1000</f>
        <v>9668.409</v>
      </c>
      <c r="D371" s="13">
        <f>(+'[72]Feb16loa'!$H$19)/1000</f>
        <v>464.619</v>
      </c>
      <c r="E371" s="13">
        <f>(+'[72]Feb16loa'!$H$23)/1000</f>
        <v>104.447</v>
      </c>
      <c r="F371" s="49">
        <f>(+'[72]Feb16loa'!$I$25)/1000</f>
        <v>781.391</v>
      </c>
      <c r="G371" s="49">
        <f t="shared" si="31"/>
        <v>18464.839999999997</v>
      </c>
      <c r="H371" s="13">
        <f>(+'[72]Feb16loa'!$H$30)/1000</f>
        <v>21.376</v>
      </c>
      <c r="I371" s="13">
        <f>(+'[72]Feb16loa'!$H$31+'[72]Feb16loa'!$H$32)/1000</f>
        <v>10526.789</v>
      </c>
      <c r="J371" s="13">
        <f>(+'[72]Feb16loa'!$H$33)/1000</f>
        <v>517.185</v>
      </c>
      <c r="K371" s="13">
        <f>(+'[72]Feb16loa'!$H$34)/1000</f>
        <v>246.872</v>
      </c>
      <c r="L371" s="13">
        <f>(+'[72]Feb16loa'!$H$35)/1000</f>
        <v>566.152</v>
      </c>
      <c r="M371" s="13">
        <f>(+'[72]Feb16loa'!$H$36)/1000</f>
        <v>181.006</v>
      </c>
      <c r="N371" s="13">
        <f>(+'[72]Feb16loa'!$H$37)/1000</f>
        <v>204.31</v>
      </c>
      <c r="O371" s="13">
        <f>(+'[72]Feb16loa'!$H$38)/1000</f>
        <v>1546.106</v>
      </c>
      <c r="P371" s="13">
        <f>(+'[72]Feb16loa'!$H$39)/1000</f>
        <v>4655.044</v>
      </c>
      <c r="Q371" s="49">
        <f t="shared" si="32"/>
        <v>23315.589000000004</v>
      </c>
      <c r="R371" s="13">
        <f>(+'[72]Feb16loa'!$H$42)/1000</f>
        <v>20497.596</v>
      </c>
      <c r="S371" s="13">
        <f>(+'[72]Feb16loa'!$H$43)/1000</f>
        <v>2207.291</v>
      </c>
      <c r="T371" s="13">
        <f>(+'[72]Feb16loa'!$H$44)/1000</f>
        <v>610.702</v>
      </c>
      <c r="U371" s="49">
        <f>(+'[72]Feb16loa'!$I$46)/1000</f>
        <v>4985.621</v>
      </c>
      <c r="V371" s="49">
        <f t="shared" si="33"/>
        <v>11071.633</v>
      </c>
      <c r="W371" s="13">
        <f>(+'[72]Feb16loa'!$H$49)/1000</f>
        <v>5645.765</v>
      </c>
      <c r="X371" s="13">
        <f>(+'[72]Feb16loa'!$H$50)/1000</f>
        <v>249.271</v>
      </c>
      <c r="Y371" s="13">
        <f>(+'[72]Feb16loa'!$H$51)/1000</f>
        <v>5176.597</v>
      </c>
      <c r="Z371" s="49">
        <f>(+'[72]Feb16loa'!$I$53)/1000</f>
        <v>11324.876</v>
      </c>
      <c r="AA371" s="49">
        <f t="shared" si="34"/>
        <v>28908.289</v>
      </c>
      <c r="AB371" s="13">
        <f>(+'[72]Feb16loa'!$H$56)/1000</f>
        <v>3417.619</v>
      </c>
      <c r="AC371" s="13">
        <f>(+'[72]Feb16loa'!$H$57)/1000</f>
        <v>0.007</v>
      </c>
      <c r="AD371" s="13">
        <f>(+'[72]Feb16loa'!$H$58)/1000</f>
        <v>25239.96</v>
      </c>
      <c r="AE371" s="13">
        <f>(+'[72]Feb16loa'!$H$59)/1000</f>
        <v>250.703</v>
      </c>
      <c r="AF371" s="49">
        <f>(+'[72]Feb16loa'!$I$61)/1000</f>
        <v>50117.922</v>
      </c>
      <c r="AG371" s="49">
        <v>0</v>
      </c>
      <c r="AH371" s="49">
        <f>(+'[72]Feb16loa'!$I$63)/1000</f>
        <v>34087.466</v>
      </c>
      <c r="AI371" s="49">
        <f>(+'[72]Feb16loa'!$I$65)/1000</f>
        <v>1569.311</v>
      </c>
      <c r="AJ371" s="49">
        <f>(+'[72]Feb16loa'!$I$67)/1000</f>
        <v>26881.466</v>
      </c>
      <c r="AK371" s="49">
        <f>(+'[72]Feb16loa'!$I$73)/1000</f>
        <v>184053.663</v>
      </c>
      <c r="AL371" s="49">
        <f>(+'[72]Feb16loa'!$I$77)/1000</f>
        <v>14492.697</v>
      </c>
      <c r="AM371" s="14">
        <f t="shared" si="35"/>
        <v>420292.239</v>
      </c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8"/>
      <c r="ED371" s="18"/>
      <c r="EE371" s="18"/>
      <c r="EF371" s="18"/>
      <c r="EG371" s="18"/>
      <c r="EH371" s="18"/>
      <c r="EI371" s="18"/>
      <c r="EJ371" s="18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</row>
    <row r="372" spans="1:159" s="19" customFormat="1" ht="15">
      <c r="A372" s="22">
        <v>42460</v>
      </c>
      <c r="B372" s="49">
        <f t="shared" si="30"/>
        <v>9967.662</v>
      </c>
      <c r="C372" s="13">
        <f>(+'[73]Mar16loa'!$H$10)/1000</f>
        <v>9414.181</v>
      </c>
      <c r="D372" s="13">
        <f>(+'[73]Mar16loa'!$H$19)/1000</f>
        <v>451.484</v>
      </c>
      <c r="E372" s="13">
        <f>(+'[73]Mar16loa'!$H$23)/1000</f>
        <v>101.997</v>
      </c>
      <c r="F372" s="49">
        <f>(+'[73]Mar16loa'!$I$25)/1000</f>
        <v>764.105</v>
      </c>
      <c r="G372" s="49">
        <f t="shared" si="31"/>
        <v>16373.483</v>
      </c>
      <c r="H372" s="13">
        <f>(+'[73]Mar16loa'!$H$30)/1000</f>
        <v>24.221</v>
      </c>
      <c r="I372" s="13">
        <f>(+'[73]Mar16loa'!$H$31+'[73]Mar16loa'!$H$32)/1000</f>
        <v>7948.34</v>
      </c>
      <c r="J372" s="13">
        <f>(+'[73]Mar16loa'!$H$33)/1000</f>
        <v>523.796</v>
      </c>
      <c r="K372" s="13">
        <f>(+'[73]Mar16loa'!$H$34)/1000</f>
        <v>244.758</v>
      </c>
      <c r="L372" s="13">
        <f>(+'[73]Mar16loa'!$H$35)/1000</f>
        <v>554.268</v>
      </c>
      <c r="M372" s="13">
        <f>(+'[73]Mar16loa'!$H$36)/1000</f>
        <v>187.031</v>
      </c>
      <c r="N372" s="13">
        <f>(+'[73]Mar16loa'!$H$37)/1000</f>
        <v>225.717</v>
      </c>
      <c r="O372" s="13">
        <f>(+'[73]Mar16loa'!$H$38)/1000</f>
        <v>1553.526</v>
      </c>
      <c r="P372" s="13">
        <f>(+'[73]Mar16loa'!$H$39)/1000</f>
        <v>5111.826</v>
      </c>
      <c r="Q372" s="49">
        <f t="shared" si="32"/>
        <v>23760.006999999998</v>
      </c>
      <c r="R372" s="13">
        <f>(+'[73]Mar16loa'!$H$42)/1000</f>
        <v>20795.607</v>
      </c>
      <c r="S372" s="13">
        <f>(+'[73]Mar16loa'!$H$43)/1000</f>
        <v>2351.101</v>
      </c>
      <c r="T372" s="13">
        <f>(+'[73]Mar16loa'!$H$44)/1000</f>
        <v>613.299</v>
      </c>
      <c r="U372" s="49">
        <f>(+'[73]Mar16loa'!$I$46)/1000</f>
        <v>5244.02</v>
      </c>
      <c r="V372" s="49">
        <f t="shared" si="33"/>
        <v>10835.955999999998</v>
      </c>
      <c r="W372" s="13">
        <f>(+'[73]Mar16loa'!$H$49)/1000</f>
        <v>6225.57</v>
      </c>
      <c r="X372" s="13">
        <f>(+'[73]Mar16loa'!$H$50)/1000</f>
        <v>263.985</v>
      </c>
      <c r="Y372" s="13">
        <f>(+'[73]Mar16loa'!$H$51)/1000</f>
        <v>4346.401</v>
      </c>
      <c r="Z372" s="49">
        <f>(+'[73]Mar16loa'!$I$53)/1000</f>
        <v>10983.028</v>
      </c>
      <c r="AA372" s="49">
        <f t="shared" si="34"/>
        <v>31374.349</v>
      </c>
      <c r="AB372" s="13">
        <f>(+'[73]Mar16loa'!$H$56)/1000</f>
        <v>6513.487</v>
      </c>
      <c r="AC372" s="13">
        <f>(+'[73]Mar16loa'!$H$57)/1000</f>
        <v>0.01</v>
      </c>
      <c r="AD372" s="13">
        <f>(+'[73]Mar16loa'!$H$58)/1000</f>
        <v>24613.626</v>
      </c>
      <c r="AE372" s="13">
        <f>(+'[73]Mar16loa'!$H$59)/1000</f>
        <v>247.226</v>
      </c>
      <c r="AF372" s="49">
        <f>(+'[73]Mar16loa'!$I$61)/1000</f>
        <v>52761.198</v>
      </c>
      <c r="AG372" s="49">
        <v>0</v>
      </c>
      <c r="AH372" s="49">
        <f>(+'[73]Mar16loa'!$I$63)/1000</f>
        <v>34458.013</v>
      </c>
      <c r="AI372" s="49">
        <f>(+'[73]Mar16loa'!$I$65)/1000</f>
        <v>1683.009</v>
      </c>
      <c r="AJ372" s="49">
        <f>(+'[73]Mar16loa'!$I$67)/1000</f>
        <v>27319.734</v>
      </c>
      <c r="AK372" s="49">
        <f>(+'[73]Mar16loa'!$I$73)/1000</f>
        <v>183227.053</v>
      </c>
      <c r="AL372" s="49">
        <f>(+'[73]Mar16loa'!$I$77)/1000</f>
        <v>14813.037</v>
      </c>
      <c r="AM372" s="14">
        <f t="shared" si="35"/>
        <v>423564.65400000004</v>
      </c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8"/>
      <c r="ED372" s="18"/>
      <c r="EE372" s="18"/>
      <c r="EF372" s="18"/>
      <c r="EG372" s="18"/>
      <c r="EH372" s="18"/>
      <c r="EI372" s="18"/>
      <c r="EJ372" s="18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</row>
    <row r="373" spans="1:159" s="19" customFormat="1" ht="15">
      <c r="A373" s="22">
        <v>42490</v>
      </c>
      <c r="B373" s="49">
        <f t="shared" si="30"/>
        <v>9955.89</v>
      </c>
      <c r="C373" s="13">
        <f>(+'[74]Apr16loa'!$H$10)/1000</f>
        <v>9375.62</v>
      </c>
      <c r="D373" s="13">
        <f>(+'[74]Apr16loa'!$H$19)/1000</f>
        <v>479.586</v>
      </c>
      <c r="E373" s="13">
        <f>(+'[74]Apr16loa'!$H$23)/1000</f>
        <v>100.684</v>
      </c>
      <c r="F373" s="49">
        <f>(+'[74]Apr16loa'!$I$25)/1000</f>
        <v>735.248</v>
      </c>
      <c r="G373" s="49">
        <f t="shared" si="31"/>
        <v>16197.339000000002</v>
      </c>
      <c r="H373" s="13">
        <f>(+'[74]Apr16loa'!$H$30)/1000</f>
        <v>19.115</v>
      </c>
      <c r="I373" s="13">
        <f>(+'[74]Apr16loa'!$H$31+'[74]Apr16loa'!$H$32)/1000</f>
        <v>8010.185</v>
      </c>
      <c r="J373" s="13">
        <f>(+'[74]Apr16loa'!$H$33)/1000</f>
        <v>536.92</v>
      </c>
      <c r="K373" s="13">
        <f>(+'[74]Apr16loa'!$H$34)/1000</f>
        <v>254.286</v>
      </c>
      <c r="L373" s="13">
        <f>(+'[74]Apr16loa'!$H$35)/1000</f>
        <v>558.368</v>
      </c>
      <c r="M373" s="13">
        <f>(+'[74]Apr16loa'!$H$36)/1000</f>
        <v>172.745</v>
      </c>
      <c r="N373" s="13">
        <f>(+'[74]Apr16loa'!$H$37)/1000</f>
        <v>212.867</v>
      </c>
      <c r="O373" s="13">
        <f>(+'[74]Apr16loa'!$H$38)/1000</f>
        <v>1575.736</v>
      </c>
      <c r="P373" s="13">
        <f>(+'[74]Apr16loa'!$H$39)/1000</f>
        <v>4857.117</v>
      </c>
      <c r="Q373" s="49">
        <f t="shared" si="32"/>
        <v>23548.035</v>
      </c>
      <c r="R373" s="13">
        <f>(+'[74]Apr16loa'!$H$42)/1000</f>
        <v>20474.221</v>
      </c>
      <c r="S373" s="13">
        <f>(+'[74]Apr16loa'!$H$43)/1000</f>
        <v>2374.689</v>
      </c>
      <c r="T373" s="13">
        <f>(+'[74]Apr16loa'!$H$44)/1000</f>
        <v>699.125</v>
      </c>
      <c r="U373" s="49">
        <f>(+'[74]Apr16loa'!$I$46)/1000</f>
        <v>5484.438</v>
      </c>
      <c r="V373" s="49">
        <f t="shared" si="33"/>
        <v>10805.07</v>
      </c>
      <c r="W373" s="13">
        <f>(+'[74]Apr16loa'!$H$49)/1000</f>
        <v>6163.632</v>
      </c>
      <c r="X373" s="13">
        <f>(+'[74]Apr16loa'!$H$50)/1000</f>
        <v>245.472</v>
      </c>
      <c r="Y373" s="13">
        <f>(+'[74]Apr16loa'!$H$51)/1000</f>
        <v>4395.966</v>
      </c>
      <c r="Z373" s="49">
        <f>(+'[74]Apr16loa'!$I$53)/1000</f>
        <v>12134.576</v>
      </c>
      <c r="AA373" s="49">
        <f t="shared" si="34"/>
        <v>27237.119</v>
      </c>
      <c r="AB373" s="13">
        <f>(+'[74]Apr16loa'!$H$56)/1000</f>
        <v>3430.736</v>
      </c>
      <c r="AC373" s="13">
        <f>(+'[74]Apr16loa'!$H$57)/1000</f>
        <v>0.659</v>
      </c>
      <c r="AD373" s="13">
        <f>(+'[74]Apr16loa'!$H$58)/1000</f>
        <v>23346.601</v>
      </c>
      <c r="AE373" s="13">
        <f>(+'[74]Apr16loa'!$H$59)/1000</f>
        <v>459.123</v>
      </c>
      <c r="AF373" s="49">
        <f>(+'[74]Apr16loa'!$I$61)/1000</f>
        <v>49757.081</v>
      </c>
      <c r="AG373" s="49">
        <v>0</v>
      </c>
      <c r="AH373" s="49">
        <f>(+'[74]Apr16loa'!$I$63)/1000</f>
        <v>34825.132</v>
      </c>
      <c r="AI373" s="49">
        <f>(+'[74]Apr16loa'!$I$65)/1000</f>
        <v>1684.661</v>
      </c>
      <c r="AJ373" s="49">
        <f>(+'[74]Apr16loa'!$I$67)/1000</f>
        <v>27804.831</v>
      </c>
      <c r="AK373" s="49">
        <f>(+'[74]Apr16loa'!$I$73)/1000</f>
        <v>187379.636</v>
      </c>
      <c r="AL373" s="49">
        <f>(+'[74]Apr16loa'!$I$77)/1000</f>
        <v>16530.607</v>
      </c>
      <c r="AM373" s="14">
        <f t="shared" si="35"/>
        <v>424079.663</v>
      </c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8"/>
      <c r="ED373" s="18"/>
      <c r="EE373" s="18"/>
      <c r="EF373" s="18"/>
      <c r="EG373" s="18"/>
      <c r="EH373" s="18"/>
      <c r="EI373" s="18"/>
      <c r="EJ373" s="18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</row>
    <row r="374" spans="1:159" s="19" customFormat="1" ht="15">
      <c r="A374" s="22">
        <v>42521</v>
      </c>
      <c r="B374" s="49">
        <f t="shared" si="30"/>
        <v>9963.179</v>
      </c>
      <c r="C374" s="13">
        <f>(+'[75]May16loa'!$H$10)/1000</f>
        <v>9390.333</v>
      </c>
      <c r="D374" s="13">
        <f>(+'[75]May16loa'!$H$19)/1000</f>
        <v>477.608</v>
      </c>
      <c r="E374" s="13">
        <f>(+'[75]May16loa'!$H$23)/1000</f>
        <v>95.238</v>
      </c>
      <c r="F374" s="49">
        <f>(+'[75]May16loa'!$I$25)/1000</f>
        <v>701.058</v>
      </c>
      <c r="G374" s="49">
        <f t="shared" si="31"/>
        <v>16000.068</v>
      </c>
      <c r="H374" s="13">
        <f>(+'[75]May16loa'!$H$30)/1000</f>
        <v>36.389</v>
      </c>
      <c r="I374" s="13">
        <f>(+'[75]May16loa'!$H$31+'[75]May16loa'!$H$32)/1000</f>
        <v>7938.118</v>
      </c>
      <c r="J374" s="13">
        <f>(+'[75]May16loa'!$H$33)/1000</f>
        <v>535.27</v>
      </c>
      <c r="K374" s="13">
        <f>(+'[75]May16loa'!$H$34)/1000</f>
        <v>248.804</v>
      </c>
      <c r="L374" s="13">
        <f>(+'[75]May16loa'!$H$35)/1000</f>
        <v>538.392</v>
      </c>
      <c r="M374" s="13">
        <f>(+'[75]May16loa'!$H$36)/1000</f>
        <v>178.141</v>
      </c>
      <c r="N374" s="13">
        <f>(+'[75]May16loa'!$H$37)/1000</f>
        <v>188.605</v>
      </c>
      <c r="O374" s="13">
        <f>(+'[75]May16loa'!$H$38)/1000</f>
        <v>1554.508</v>
      </c>
      <c r="P374" s="13">
        <f>(+'[75]May16loa'!$H$39)/1000</f>
        <v>4781.841</v>
      </c>
      <c r="Q374" s="49">
        <f t="shared" si="32"/>
        <v>25374.610999999997</v>
      </c>
      <c r="R374" s="13">
        <f>(+'[75]May16loa'!$H$42)/1000</f>
        <v>20929.885</v>
      </c>
      <c r="S374" s="13">
        <f>(+'[75]May16loa'!$H$43)/1000</f>
        <v>2273.214</v>
      </c>
      <c r="T374" s="13">
        <f>(+'[75]May16loa'!$H$44)/1000</f>
        <v>2171.512</v>
      </c>
      <c r="U374" s="49">
        <f>(+'[75]May16loa'!$I$46)/1000</f>
        <v>33975.782</v>
      </c>
      <c r="V374" s="49">
        <f t="shared" si="33"/>
        <v>11243.644</v>
      </c>
      <c r="W374" s="13">
        <f>(+'[75]May16loa'!$H$49)/1000</f>
        <v>6433.946</v>
      </c>
      <c r="X374" s="13">
        <f>(+'[75]May16loa'!$H$50)/1000</f>
        <v>372.854</v>
      </c>
      <c r="Y374" s="13">
        <f>(+'[75]May16loa'!$H$51)/1000</f>
        <v>4436.844</v>
      </c>
      <c r="Z374" s="49">
        <f>(+'[75]May16loa'!$I$53)/1000</f>
        <v>12662.761</v>
      </c>
      <c r="AA374" s="49">
        <f t="shared" si="34"/>
        <v>27125.109999999997</v>
      </c>
      <c r="AB374" s="13">
        <f>(+'[75]May16loa'!$H$56)/1000</f>
        <v>3464.558</v>
      </c>
      <c r="AC374" s="13">
        <f>(+'[75]May16loa'!$H$57)/1000</f>
        <v>0.014</v>
      </c>
      <c r="AD374" s="13">
        <f>(+'[75]May16loa'!$H$58)/1000</f>
        <v>23406.813</v>
      </c>
      <c r="AE374" s="13">
        <f>(+'[75]May16loa'!$H$59)/1000</f>
        <v>253.725</v>
      </c>
      <c r="AF374" s="49">
        <f>(+'[75]May16loa'!$I$61)/1000</f>
        <v>50179.051</v>
      </c>
      <c r="AG374" s="49">
        <v>0</v>
      </c>
      <c r="AH374" s="49">
        <f>(+'[75]May16loa'!$I$63)/1000</f>
        <v>36618.253</v>
      </c>
      <c r="AI374" s="49">
        <f>(+'[75]May16loa'!$I$65)/1000</f>
        <v>1722.188</v>
      </c>
      <c r="AJ374" s="49">
        <f>(+'[75]May16loa'!$I$67)/1000</f>
        <v>27775.867</v>
      </c>
      <c r="AK374" s="49">
        <f>(+'[75]May16loa'!$I$73)/1000</f>
        <v>190008.009</v>
      </c>
      <c r="AL374" s="49">
        <f>(+'[75]May16loa'!$I$77)/1000</f>
        <v>16485.57</v>
      </c>
      <c r="AM374" s="14">
        <f t="shared" si="35"/>
        <v>459835.151</v>
      </c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8"/>
      <c r="ED374" s="18"/>
      <c r="EE374" s="18"/>
      <c r="EF374" s="18"/>
      <c r="EG374" s="18"/>
      <c r="EH374" s="18"/>
      <c r="EI374" s="18"/>
      <c r="EJ374" s="18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</row>
    <row r="375" spans="1:159" s="19" customFormat="1" ht="15">
      <c r="A375" s="22">
        <v>42551</v>
      </c>
      <c r="B375" s="49">
        <f t="shared" si="30"/>
        <v>9894.547999999999</v>
      </c>
      <c r="C375" s="13">
        <f>(+'[76]Jun16loa'!$H$10)/1000</f>
        <v>9324.97</v>
      </c>
      <c r="D375" s="13">
        <f>(+'[76]Jun16loa'!$H$19)/1000</f>
        <v>476.721</v>
      </c>
      <c r="E375" s="13">
        <f>(+'[76]Jun16loa'!$H$23)/1000</f>
        <v>92.857</v>
      </c>
      <c r="F375" s="49">
        <f>(+'[76]Jun16loa'!$I$25)/1000</f>
        <v>692.203</v>
      </c>
      <c r="G375" s="49">
        <f t="shared" si="31"/>
        <v>15811.493</v>
      </c>
      <c r="H375" s="13">
        <f>(+'[76]Jun16loa'!$H$30)/1000</f>
        <v>20.468</v>
      </c>
      <c r="I375" s="13">
        <f>(+'[76]Jun16loa'!$H$31+'[76]Jun16loa'!$H$32)/1000</f>
        <v>7885.975</v>
      </c>
      <c r="J375" s="13">
        <f>(+'[76]Jun16loa'!$H$33)/1000</f>
        <v>521.408</v>
      </c>
      <c r="K375" s="13">
        <f>(+'[76]Jun16loa'!$H$34)/1000</f>
        <v>250.748</v>
      </c>
      <c r="L375" s="13">
        <f>(+'[76]Jun16loa'!$H$35)/1000</f>
        <v>562.891</v>
      </c>
      <c r="M375" s="13">
        <f>(+'[76]Jun16loa'!$H$36)/1000</f>
        <v>170.941</v>
      </c>
      <c r="N375" s="13">
        <f>(+'[76]Jun16loa'!$H$37)/1000</f>
        <v>195.635</v>
      </c>
      <c r="O375" s="13">
        <f>(+'[76]Jun16loa'!$H$38)/1000</f>
        <v>1555.605</v>
      </c>
      <c r="P375" s="13">
        <f>(+'[76]Jun16loa'!$H$39)/1000</f>
        <v>4647.822</v>
      </c>
      <c r="Q375" s="49">
        <f t="shared" si="32"/>
        <v>25920.07</v>
      </c>
      <c r="R375" s="13">
        <f>(+'[76]Jun16loa'!$H$42)/1000</f>
        <v>21554.072</v>
      </c>
      <c r="S375" s="13">
        <f>(+'[76]Jun16loa'!$H$43)/1000</f>
        <v>2177.529</v>
      </c>
      <c r="T375" s="13">
        <f>(+'[76]Jun16loa'!$H$44)/1000</f>
        <v>2188.469</v>
      </c>
      <c r="U375" s="49">
        <f>(+'[76]Jun16loa'!$I$46)/1000</f>
        <v>33950.273</v>
      </c>
      <c r="V375" s="49">
        <f t="shared" si="33"/>
        <v>10912.017</v>
      </c>
      <c r="W375" s="13">
        <f>(+'[76]Jun16loa'!$H$49)/1000</f>
        <v>6320.126</v>
      </c>
      <c r="X375" s="13">
        <f>(+'[76]Jun16loa'!$H$50)/1000</f>
        <v>366.135</v>
      </c>
      <c r="Y375" s="13">
        <f>(+'[76]Jun16loa'!$H$51)/1000</f>
        <v>4225.756</v>
      </c>
      <c r="Z375" s="49">
        <f>(+'[76]Jun16loa'!$I$53)/1000</f>
        <v>17276.148</v>
      </c>
      <c r="AA375" s="49">
        <f t="shared" si="34"/>
        <v>27330.6</v>
      </c>
      <c r="AB375" s="13">
        <f>(+'[76]Jun16loa'!$H$56)/1000</f>
        <v>3371.467</v>
      </c>
      <c r="AC375" s="13">
        <f>(+'[76]Jun16loa'!$H$57)/1000</f>
        <v>0.012</v>
      </c>
      <c r="AD375" s="13">
        <f>(+'[76]Jun16loa'!$H$58)/1000</f>
        <v>23713.015</v>
      </c>
      <c r="AE375" s="13">
        <f>(+'[76]Jun16loa'!$H$59)/1000</f>
        <v>246.106</v>
      </c>
      <c r="AF375" s="49">
        <f>(+'[76]Jun16loa'!$I$61)/1000</f>
        <v>51579.527</v>
      </c>
      <c r="AG375" s="49">
        <v>0</v>
      </c>
      <c r="AH375" s="49">
        <f>(+'[76]Jun16loa'!$I$63)/1000</f>
        <v>36798.11</v>
      </c>
      <c r="AI375" s="49">
        <f>(+'[76]Jun16loa'!$I$65)/1000</f>
        <v>1689.932</v>
      </c>
      <c r="AJ375" s="49">
        <f>(+'[76]Jun16loa'!$I$67)/1000</f>
        <v>28069.577</v>
      </c>
      <c r="AK375" s="49">
        <f>(+'[76]Jun16loa'!$I$73)/1000</f>
        <v>192593.669</v>
      </c>
      <c r="AL375" s="49">
        <f>(+'[76]Jun16loa'!$I$77)/1000</f>
        <v>16396.011</v>
      </c>
      <c r="AM375" s="14">
        <f t="shared" si="35"/>
        <v>468914.178</v>
      </c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8"/>
      <c r="ED375" s="18"/>
      <c r="EE375" s="18"/>
      <c r="EF375" s="18"/>
      <c r="EG375" s="18"/>
      <c r="EH375" s="18"/>
      <c r="EI375" s="18"/>
      <c r="EJ375" s="18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</row>
    <row r="376" spans="1:159" s="19" customFormat="1" ht="15">
      <c r="A376" s="22">
        <v>42582</v>
      </c>
      <c r="B376" s="49">
        <f t="shared" si="30"/>
        <v>9735.997000000001</v>
      </c>
      <c r="C376" s="13">
        <f>(+'[77]Jul16loa'!$H$10)/1000</f>
        <v>9167.9</v>
      </c>
      <c r="D376" s="13">
        <f>(+'[77]Jul16loa'!$H$19)/1000</f>
        <v>474.674</v>
      </c>
      <c r="E376" s="13">
        <f>(+'[77]Jul16loa'!$H$23)/1000</f>
        <v>93.423</v>
      </c>
      <c r="F376" s="49">
        <f>(+'[77]Jul16loa'!$I$25)/1000</f>
        <v>699.428</v>
      </c>
      <c r="G376" s="49">
        <f t="shared" si="31"/>
        <v>15918.681</v>
      </c>
      <c r="H376" s="13">
        <f>(+'[77]Jul16loa'!$H$30)/1000</f>
        <v>20.829</v>
      </c>
      <c r="I376" s="13">
        <f>(+'[77]Jul16loa'!$H$31+'[77]Jul16loa'!$H$32)/1000</f>
        <v>7926.729</v>
      </c>
      <c r="J376" s="13">
        <f>(+'[77]Jul16loa'!$H$33)/1000</f>
        <v>499.935</v>
      </c>
      <c r="K376" s="13">
        <f>(+'[77]Jul16loa'!$H$34)/1000</f>
        <v>252.591</v>
      </c>
      <c r="L376" s="13">
        <f>(+'[77]Jul16loa'!$H$35)/1000</f>
        <v>544.696</v>
      </c>
      <c r="M376" s="13">
        <f>(+'[77]Jul16loa'!$H$36)/1000</f>
        <v>175.382</v>
      </c>
      <c r="N376" s="13">
        <f>(+'[77]Jul16loa'!$H$37)/1000</f>
        <v>186.324</v>
      </c>
      <c r="O376" s="13">
        <f>(+'[77]Jul16loa'!$H$38)/1000</f>
        <v>1666.95</v>
      </c>
      <c r="P376" s="13">
        <f>(+'[77]Jul16loa'!$H$39)/1000</f>
        <v>4645.245</v>
      </c>
      <c r="Q376" s="49">
        <f t="shared" si="32"/>
        <v>26174.11</v>
      </c>
      <c r="R376" s="13">
        <f>(+'[77]Jul16loa'!$H$42)/1000</f>
        <v>21770.086</v>
      </c>
      <c r="S376" s="13">
        <f>(+'[77]Jul16loa'!$H$43)/1000</f>
        <v>2241.562</v>
      </c>
      <c r="T376" s="13">
        <f>(+'[77]Jul16loa'!$H$44)/1000</f>
        <v>2162.462</v>
      </c>
      <c r="U376" s="49">
        <f>(+'[77]Jul16loa'!$I$46)/1000</f>
        <v>34024.034</v>
      </c>
      <c r="V376" s="49">
        <f t="shared" si="33"/>
        <v>11176.612000000001</v>
      </c>
      <c r="W376" s="13">
        <f>(+'[77]Jul16loa'!$H$49)/1000</f>
        <v>6490.032</v>
      </c>
      <c r="X376" s="13">
        <f>(+'[77]Jul16loa'!$H$50)/1000</f>
        <v>364.207</v>
      </c>
      <c r="Y376" s="13">
        <f>(+'[77]Jul16loa'!$H$51)/1000</f>
        <v>4322.373</v>
      </c>
      <c r="Z376" s="49">
        <f>(+'[77]Jul16loa'!$I$53)/1000</f>
        <v>16772.417</v>
      </c>
      <c r="AA376" s="49">
        <f t="shared" si="34"/>
        <v>27950.417999999998</v>
      </c>
      <c r="AB376" s="13">
        <f>(+'[77]Jul16loa'!$H$56)/1000</f>
        <v>3452.865</v>
      </c>
      <c r="AC376" s="13">
        <f>(+'[77]Jul16loa'!$H$57)/1000</f>
        <v>0.006</v>
      </c>
      <c r="AD376" s="13">
        <f>(+'[77]Jul16loa'!$H$58)/1000</f>
        <v>24286.706</v>
      </c>
      <c r="AE376" s="13">
        <f>(+'[77]Jul16loa'!$H$59)/1000</f>
        <v>210.841</v>
      </c>
      <c r="AF376" s="49">
        <f>(+'[77]Jul16loa'!$I$61)/1000</f>
        <v>52352.712</v>
      </c>
      <c r="AG376" s="49">
        <v>0</v>
      </c>
      <c r="AH376" s="49">
        <f>(+'[77]Jul16loa'!$I$63)/1000</f>
        <v>40494.287</v>
      </c>
      <c r="AI376" s="49">
        <f>(+'[77]Jul16loa'!$I$65)/1000</f>
        <v>1712.449</v>
      </c>
      <c r="AJ376" s="49">
        <f>(+'[77]Jul16loa'!$I$67)/1000</f>
        <v>28272.006</v>
      </c>
      <c r="AK376" s="49">
        <f>(+'[77]Jul16loa'!$I$73)/1000</f>
        <v>195180.96</v>
      </c>
      <c r="AL376" s="49">
        <f>(+'[77]Jul16loa'!$I$77)/1000</f>
        <v>16463.354</v>
      </c>
      <c r="AM376" s="14">
        <f t="shared" si="35"/>
        <v>476927.465</v>
      </c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8"/>
      <c r="ED376" s="18"/>
      <c r="EE376" s="18"/>
      <c r="EF376" s="18"/>
      <c r="EG376" s="18"/>
      <c r="EH376" s="18"/>
      <c r="EI376" s="18"/>
      <c r="EJ376" s="18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</row>
    <row r="377" spans="1:159" s="19" customFormat="1" ht="15">
      <c r="A377" s="22">
        <v>42613</v>
      </c>
      <c r="B377" s="49">
        <f t="shared" si="30"/>
        <v>9786.711000000001</v>
      </c>
      <c r="C377" s="13">
        <f>(+'[78]Aug16loa'!$H$10)/1000</f>
        <v>9175.903</v>
      </c>
      <c r="D377" s="13">
        <f>(+'[78]Aug16loa'!$H$19)/1000</f>
        <v>495.413</v>
      </c>
      <c r="E377" s="13">
        <f>(+'[78]Aug16loa'!$H$23)/1000</f>
        <v>115.395</v>
      </c>
      <c r="F377" s="49">
        <f>(+'[78]Aug16loa'!$I$25)/1000</f>
        <v>735.21</v>
      </c>
      <c r="G377" s="49">
        <f t="shared" si="31"/>
        <v>16070.854</v>
      </c>
      <c r="H377" s="13">
        <f>(+'[78]Aug16loa'!$H$30)/1000</f>
        <v>21.2</v>
      </c>
      <c r="I377" s="13">
        <f>(+'[78]Aug16loa'!$H$31+'[78]Aug16loa'!$H$32)/1000</f>
        <v>8073.394</v>
      </c>
      <c r="J377" s="13">
        <f>(+'[78]Aug16loa'!$H$33)/1000</f>
        <v>538.424</v>
      </c>
      <c r="K377" s="13">
        <f>(+'[78]Aug16loa'!$H$34)/1000</f>
        <v>267.004</v>
      </c>
      <c r="L377" s="13">
        <f>(+'[78]Aug16loa'!$H$35)/1000</f>
        <v>553.377</v>
      </c>
      <c r="M377" s="13">
        <f>(+'[78]Aug16loa'!$H$36)/1000</f>
        <v>180.841</v>
      </c>
      <c r="N377" s="13">
        <f>(+'[78]Aug16loa'!$H$37)/1000</f>
        <v>193.246</v>
      </c>
      <c r="O377" s="13">
        <f>(+'[78]Aug16loa'!$H$38)/1000</f>
        <v>1648.159</v>
      </c>
      <c r="P377" s="13">
        <f>(+'[78]Aug16loa'!$H$39)/1000</f>
        <v>4595.209</v>
      </c>
      <c r="Q377" s="49">
        <f t="shared" si="32"/>
        <v>27417.211</v>
      </c>
      <c r="R377" s="13">
        <f>(+'[78]Aug16loa'!$H$42)/1000</f>
        <v>22979.619</v>
      </c>
      <c r="S377" s="13">
        <f>(+'[78]Aug16loa'!$H$43)/1000</f>
        <v>2254.11</v>
      </c>
      <c r="T377" s="13">
        <f>(+'[78]Aug16loa'!$H$44)/1000</f>
        <v>2183.482</v>
      </c>
      <c r="U377" s="49">
        <f>(+'[78]Aug16loa'!$I$46)/1000</f>
        <v>34877.316</v>
      </c>
      <c r="V377" s="49">
        <f t="shared" si="33"/>
        <v>11237.399000000001</v>
      </c>
      <c r="W377" s="13">
        <f>(+'[78]Aug16loa'!$H$49)/1000</f>
        <v>6564.897</v>
      </c>
      <c r="X377" s="13">
        <f>(+'[78]Aug16loa'!$H$50)/1000</f>
        <v>360.221</v>
      </c>
      <c r="Y377" s="13">
        <f>(+'[78]Aug16loa'!$H$51)/1000</f>
        <v>4312.281</v>
      </c>
      <c r="Z377" s="49">
        <f>(+'[78]Aug16loa'!$I$53)/1000</f>
        <v>17248.864</v>
      </c>
      <c r="AA377" s="49">
        <f t="shared" si="34"/>
        <v>27860.806999999997</v>
      </c>
      <c r="AB377" s="13">
        <f>(+'[78]Aug16loa'!$H$56)/1000</f>
        <v>3357.168</v>
      </c>
      <c r="AC377" s="13">
        <f>(+'[78]Aug16loa'!$H$57)/1000</f>
        <v>0.006</v>
      </c>
      <c r="AD377" s="13">
        <f>(+'[78]Aug16loa'!$H$58)/1000</f>
        <v>24291.655</v>
      </c>
      <c r="AE377" s="13">
        <f>(+'[78]Aug16loa'!$H$59)/1000</f>
        <v>211.978</v>
      </c>
      <c r="AF377" s="49">
        <f>(+'[78]Aug16loa'!$I$61)/1000</f>
        <v>51244.035</v>
      </c>
      <c r="AG377" s="49">
        <v>0</v>
      </c>
      <c r="AH377" s="49">
        <f>(+'[78]Aug16loa'!$I$63)/1000</f>
        <v>41606.067</v>
      </c>
      <c r="AI377" s="49">
        <f>(+'[78]Aug16loa'!$I$65)/1000</f>
        <v>1734.162</v>
      </c>
      <c r="AJ377" s="49">
        <f>(+'[78]Aug16loa'!$I$67)/1000</f>
        <v>28390.22</v>
      </c>
      <c r="AK377" s="49">
        <f>(+'[78]Aug16loa'!$I$73)/1000</f>
        <v>197127.075</v>
      </c>
      <c r="AL377" s="49">
        <f>(+'[78]Aug16loa'!$I$77)/1000</f>
        <v>16576.375</v>
      </c>
      <c r="AM377" s="14">
        <f t="shared" si="35"/>
        <v>481912.30600000004</v>
      </c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8"/>
      <c r="ED377" s="18"/>
      <c r="EE377" s="18"/>
      <c r="EF377" s="18"/>
      <c r="EG377" s="18"/>
      <c r="EH377" s="18"/>
      <c r="EI377" s="18"/>
      <c r="EJ377" s="18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</row>
    <row r="378" spans="1:159" s="19" customFormat="1" ht="15">
      <c r="A378" s="22">
        <v>42643</v>
      </c>
      <c r="B378" s="49">
        <f t="shared" si="30"/>
        <v>9825.786</v>
      </c>
      <c r="C378" s="13">
        <f>(+'[79]Sep16loa'!$H$10)/1000</f>
        <v>9203.283</v>
      </c>
      <c r="D378" s="13">
        <f>(+'[79]Sep16loa'!$H$19)/1000</f>
        <v>507.008</v>
      </c>
      <c r="E378" s="13">
        <f>(+'[79]Sep16loa'!$H$23)/1000</f>
        <v>115.495</v>
      </c>
      <c r="F378" s="49">
        <f>(+'[79]Sep16loa'!$I$25)/1000</f>
        <v>712.277</v>
      </c>
      <c r="G378" s="49">
        <f t="shared" si="31"/>
        <v>16633.594</v>
      </c>
      <c r="H378" s="13">
        <f>(+'[79]Sep16loa'!$H$30)/1000</f>
        <v>21.862</v>
      </c>
      <c r="I378" s="13">
        <f>(+'[79]Sep16loa'!$H$31+'[79]Sep16loa'!$H$32)/1000</f>
        <v>8333.794</v>
      </c>
      <c r="J378" s="13">
        <f>(+'[79]Sep16loa'!$H$33)/1000</f>
        <v>644.393</v>
      </c>
      <c r="K378" s="13">
        <f>(+'[79]Sep16loa'!$H$34)/1000</f>
        <v>255.581</v>
      </c>
      <c r="L378" s="13">
        <f>(+'[79]Sep16loa'!$H$35)/1000</f>
        <v>560.222</v>
      </c>
      <c r="M378" s="13">
        <f>(+'[79]Sep16loa'!$H$36)/1000</f>
        <v>179.281</v>
      </c>
      <c r="N378" s="13">
        <f>(+'[79]Sep16loa'!$H$37)/1000</f>
        <v>238.991</v>
      </c>
      <c r="O378" s="13">
        <f>(+'[79]Sep16loa'!$H$38)/1000</f>
        <v>1640.074</v>
      </c>
      <c r="P378" s="13">
        <f>(+'[79]Sep16loa'!$H$39)/1000</f>
        <v>4759.396</v>
      </c>
      <c r="Q378" s="49">
        <f t="shared" si="32"/>
        <v>25358.395</v>
      </c>
      <c r="R378" s="13">
        <f>(+'[79]Sep16loa'!$H$42)/1000</f>
        <v>20955.863</v>
      </c>
      <c r="S378" s="13">
        <f>(+'[79]Sep16loa'!$H$43)/1000</f>
        <v>2247.28</v>
      </c>
      <c r="T378" s="13">
        <f>(+'[79]Sep16loa'!$H$44)/1000</f>
        <v>2155.252</v>
      </c>
      <c r="U378" s="49">
        <f>(+'[79]Sep16loa'!$I$46)/1000</f>
        <v>34952.046</v>
      </c>
      <c r="V378" s="49">
        <f t="shared" si="33"/>
        <v>11215.897</v>
      </c>
      <c r="W378" s="13">
        <f>(+'[79]Sep16loa'!$H$49)/1000</f>
        <v>7065.646</v>
      </c>
      <c r="X378" s="13">
        <f>(+'[79]Sep16loa'!$H$50)/1000</f>
        <v>356.554</v>
      </c>
      <c r="Y378" s="13">
        <f>(+'[79]Sep16loa'!$H$51)/1000</f>
        <v>3793.697</v>
      </c>
      <c r="Z378" s="49">
        <f>(+'[79]Sep16loa'!$I$53)/1000</f>
        <v>17157.172</v>
      </c>
      <c r="AA378" s="49">
        <f t="shared" si="34"/>
        <v>28363.292999999998</v>
      </c>
      <c r="AB378" s="13">
        <f>(+'[79]Sep16loa'!$H$56)/1000</f>
        <v>3436.656</v>
      </c>
      <c r="AC378" s="13">
        <f>(+'[79]Sep16loa'!$H$57)/1000</f>
        <v>0.006</v>
      </c>
      <c r="AD378" s="13">
        <f>(+'[79]Sep16loa'!$H$58)/1000</f>
        <v>24721.564</v>
      </c>
      <c r="AE378" s="13">
        <f>(+'[79]Sep16loa'!$H$59)/1000</f>
        <v>205.067</v>
      </c>
      <c r="AF378" s="49">
        <f>(+'[79]Sep16loa'!$I$61)/1000</f>
        <v>52102.878</v>
      </c>
      <c r="AG378" s="49">
        <v>0</v>
      </c>
      <c r="AH378" s="49">
        <f>(+'[79]Sep16loa'!$I$63)/1000</f>
        <v>41624.042</v>
      </c>
      <c r="AI378" s="49">
        <f>(+'[79]Sep16loa'!$I$65)/1000</f>
        <v>2166.085</v>
      </c>
      <c r="AJ378" s="49">
        <f>(+'[79]Sep16loa'!$I$67)/1000</f>
        <v>28397.75</v>
      </c>
      <c r="AK378" s="49">
        <f>(+'[79]Sep16loa'!$I$73)/1000</f>
        <v>201723.648</v>
      </c>
      <c r="AL378" s="49">
        <f>(+'[79]Sep16loa'!$I$77)/1000</f>
        <v>17783.459</v>
      </c>
      <c r="AM378" s="14">
        <f t="shared" si="35"/>
        <v>488016.3219999999</v>
      </c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8"/>
      <c r="ED378" s="18"/>
      <c r="EE378" s="18"/>
      <c r="EF378" s="18"/>
      <c r="EG378" s="18"/>
      <c r="EH378" s="18"/>
      <c r="EI378" s="18"/>
      <c r="EJ378" s="18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</row>
    <row r="379" spans="1:159" s="19" customFormat="1" ht="15">
      <c r="A379" s="22">
        <v>42674</v>
      </c>
      <c r="B379" s="49">
        <f t="shared" si="30"/>
        <v>9714.139000000001</v>
      </c>
      <c r="C379" s="13">
        <f>(+'[80]Oct16loa'!$H$10)/1000</f>
        <v>9103.602</v>
      </c>
      <c r="D379" s="13">
        <f>(+'[80]Oct16loa'!$H$19)/1000</f>
        <v>500.814</v>
      </c>
      <c r="E379" s="13">
        <f>(+'[80]Oct16loa'!$H$23)/1000</f>
        <v>109.723</v>
      </c>
      <c r="F379" s="49">
        <f>(+'[80]Oct16loa'!$I$25)/1000</f>
        <v>693.392</v>
      </c>
      <c r="G379" s="49">
        <f t="shared" si="31"/>
        <v>15606.970999999998</v>
      </c>
      <c r="H379" s="13">
        <f>(+'[80]Oct16loa'!$H$30)/1000</f>
        <v>20.809</v>
      </c>
      <c r="I379" s="13">
        <f>(+'[80]Oct16loa'!$H$31+'[80]Oct16loa'!$H$32)/1000</f>
        <v>8322.016</v>
      </c>
      <c r="J379" s="13">
        <f>(+'[80]Oct16loa'!$H$33)/1000</f>
        <v>633.007</v>
      </c>
      <c r="K379" s="13">
        <f>(+'[80]Oct16loa'!$H$34)/1000</f>
        <v>262.338</v>
      </c>
      <c r="L379" s="13">
        <f>(+'[80]Oct16loa'!$H$35)/1000</f>
        <v>571.198</v>
      </c>
      <c r="M379" s="13">
        <f>(+'[80]Oct16loa'!$H$36)/1000</f>
        <v>184.308</v>
      </c>
      <c r="N379" s="13">
        <f>(+'[80]Oct16loa'!$H$37)/1000</f>
        <v>243.121</v>
      </c>
      <c r="O379" s="13">
        <f>(+'[80]Oct16loa'!$H$38)/1000</f>
        <v>1618.417</v>
      </c>
      <c r="P379" s="13">
        <f>(+'[80]Oct16loa'!$H$39)/1000</f>
        <v>3751.757</v>
      </c>
      <c r="Q379" s="49">
        <f t="shared" si="32"/>
        <v>26013.058</v>
      </c>
      <c r="R379" s="13">
        <f>(+'[80]Oct16loa'!$H$42)/1000</f>
        <v>21671.628</v>
      </c>
      <c r="S379" s="13">
        <f>(+'[80]Oct16loa'!$H$43)/1000</f>
        <v>2211.969</v>
      </c>
      <c r="T379" s="13">
        <f>(+'[80]Oct16loa'!$H$44)/1000</f>
        <v>2129.461</v>
      </c>
      <c r="U379" s="49">
        <f>(+'[80]Oct16loa'!$I$46)/1000</f>
        <v>34950.405</v>
      </c>
      <c r="V379" s="49">
        <f t="shared" si="33"/>
        <v>10611.599</v>
      </c>
      <c r="W379" s="13">
        <f>(+'[80]Oct16loa'!$H$49)/1000</f>
        <v>6954.617</v>
      </c>
      <c r="X379" s="13">
        <f>(+'[80]Oct16loa'!$H$50)/1000</f>
        <v>349.513</v>
      </c>
      <c r="Y379" s="13">
        <f>(+'[80]Oct16loa'!$H$51)/1000</f>
        <v>3307.469</v>
      </c>
      <c r="Z379" s="49">
        <f>(+'[80]Oct16loa'!$I$53)/1000</f>
        <v>16667.54</v>
      </c>
      <c r="AA379" s="49">
        <f t="shared" si="34"/>
        <v>28105.210000000003</v>
      </c>
      <c r="AB379" s="13">
        <f>(+'[80]Oct16loa'!$H$56)/1000</f>
        <v>3151.093</v>
      </c>
      <c r="AC379" s="13">
        <f>(+'[80]Oct16loa'!$H$57)/1000</f>
        <v>0.541</v>
      </c>
      <c r="AD379" s="13">
        <f>(+'[80]Oct16loa'!$H$58)/1000</f>
        <v>24747.569</v>
      </c>
      <c r="AE379" s="13">
        <f>(+'[80]Oct16loa'!$H$59)/1000</f>
        <v>206.007</v>
      </c>
      <c r="AF379" s="49">
        <f>(+'[80]Oct16loa'!$I$61)/1000</f>
        <v>54977.759</v>
      </c>
      <c r="AG379" s="49">
        <v>0</v>
      </c>
      <c r="AH379" s="49">
        <f>(+'[80]Oct16loa'!$I$63)/1000</f>
        <v>43484.517</v>
      </c>
      <c r="AI379" s="49">
        <f>(+'[80]Oct16loa'!$I$65)/1000</f>
        <v>2242.39</v>
      </c>
      <c r="AJ379" s="49">
        <f>(+'[80]Oct16loa'!$I$67)/1000</f>
        <v>28461.377</v>
      </c>
      <c r="AK379" s="49">
        <f>(+'[80]Oct16loa'!$I$73)/1000</f>
        <v>203614.018</v>
      </c>
      <c r="AL379" s="49">
        <f>(+'[80]Oct16loa'!$I$77)/1000</f>
        <v>17748.955</v>
      </c>
      <c r="AM379" s="14">
        <f t="shared" si="35"/>
        <v>492891.33</v>
      </c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8"/>
      <c r="ED379" s="18"/>
      <c r="EE379" s="18"/>
      <c r="EF379" s="18"/>
      <c r="EG379" s="18"/>
      <c r="EH379" s="18"/>
      <c r="EI379" s="18"/>
      <c r="EJ379" s="18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</row>
    <row r="380" spans="1:159" s="19" customFormat="1" ht="15">
      <c r="A380" s="22">
        <v>42704</v>
      </c>
      <c r="B380" s="49">
        <f t="shared" si="30"/>
        <v>9613.763</v>
      </c>
      <c r="C380" s="13">
        <f>(+'[81]Nov16loa'!$H$10)/1000</f>
        <v>9017.985</v>
      </c>
      <c r="D380" s="13">
        <f>(+'[81]Nov16loa'!$H$19)/1000</f>
        <v>488.891</v>
      </c>
      <c r="E380" s="13">
        <f>(+'[81]Nov16loa'!$H$23)/1000</f>
        <v>106.887</v>
      </c>
      <c r="F380" s="49">
        <f>(+'[81]Nov16loa'!$I$25)/1000</f>
        <v>689.838</v>
      </c>
      <c r="G380" s="49">
        <f t="shared" si="31"/>
        <v>16525.197000000004</v>
      </c>
      <c r="H380" s="13">
        <f>(+'[81]Nov16loa'!$H$30)/1000</f>
        <v>8.394</v>
      </c>
      <c r="I380" s="13">
        <f>(+'[81]Nov16loa'!$H$31+'[81]Nov16loa'!$H$32)/1000</f>
        <v>8328.08</v>
      </c>
      <c r="J380" s="13">
        <f>(+'[81]Nov16loa'!$H$33)/1000</f>
        <v>613.582</v>
      </c>
      <c r="K380" s="13">
        <f>(+'[81]Nov16loa'!$H$34)/1000</f>
        <v>285.476</v>
      </c>
      <c r="L380" s="13">
        <f>(+'[81]Nov16loa'!$H$35)/1000</f>
        <v>561.483</v>
      </c>
      <c r="M380" s="13">
        <f>(+'[81]Nov16loa'!$H$36)/1000</f>
        <v>187.921</v>
      </c>
      <c r="N380" s="13">
        <f>(+'[81]Nov16loa'!$H$37)/1000</f>
        <v>226.761</v>
      </c>
      <c r="O380" s="13">
        <f>(+'[81]Nov16loa'!$H$38)/1000</f>
        <v>1592.317</v>
      </c>
      <c r="P380" s="13">
        <f>(+'[81]Nov16loa'!$H$39)/1000</f>
        <v>4721.183</v>
      </c>
      <c r="Q380" s="49">
        <f t="shared" si="32"/>
        <v>25985.915999999997</v>
      </c>
      <c r="R380" s="13">
        <f>(+'[81]Nov16loa'!$H$42)/1000</f>
        <v>21614.571</v>
      </c>
      <c r="S380" s="13">
        <f>(+'[81]Nov16loa'!$H$43)/1000</f>
        <v>2241.173</v>
      </c>
      <c r="T380" s="13">
        <f>(+'[81]Nov16loa'!$H$44)/1000</f>
        <v>2130.172</v>
      </c>
      <c r="U380" s="49">
        <f>(+'[81]Nov16loa'!$I$46)/1000</f>
        <v>34985.727</v>
      </c>
      <c r="V380" s="49">
        <f t="shared" si="33"/>
        <v>10733.235</v>
      </c>
      <c r="W380" s="13">
        <f>(+'[81]Nov16loa'!$H$49)/1000</f>
        <v>7063.412</v>
      </c>
      <c r="X380" s="13">
        <f>(+'[81]Nov16loa'!$H$50)/1000</f>
        <v>348.999</v>
      </c>
      <c r="Y380" s="13">
        <f>(+'[81]Nov16loa'!$H$51)/1000</f>
        <v>3320.824</v>
      </c>
      <c r="Z380" s="49">
        <f>(+'[81]Nov16loa'!$I$53)/1000</f>
        <v>16954.056</v>
      </c>
      <c r="AA380" s="49">
        <f t="shared" si="34"/>
        <v>27214.441000000003</v>
      </c>
      <c r="AB380" s="13">
        <f>(+'[81]Nov16loa'!$H$56)/1000</f>
        <v>3138.354</v>
      </c>
      <c r="AC380" s="13">
        <f>(+'[81]Nov16loa'!$H$57)/1000</f>
        <v>0.006</v>
      </c>
      <c r="AD380" s="13">
        <f>(+'[81]Nov16loa'!$H$58)/1000</f>
        <v>23870.526</v>
      </c>
      <c r="AE380" s="13">
        <f>(+'[81]Nov16loa'!$H$59)/1000</f>
        <v>205.555</v>
      </c>
      <c r="AF380" s="49">
        <f>(+'[81]Nov16loa'!$I$61)/1000</f>
        <v>53696.634</v>
      </c>
      <c r="AG380" s="49">
        <v>0</v>
      </c>
      <c r="AH380" s="49">
        <f>(+'[81]Nov16loa'!$I$63)/1000</f>
        <v>44129.692</v>
      </c>
      <c r="AI380" s="49">
        <f>(+'[81]Nov16loa'!$I$65)/1000</f>
        <v>2261.578</v>
      </c>
      <c r="AJ380" s="49">
        <f>(+'[81]Nov16loa'!$I$67)/1000</f>
        <v>28537.273</v>
      </c>
      <c r="AK380" s="49">
        <f>(+'[81]Nov16loa'!$I$73)/1000</f>
        <v>206995.204</v>
      </c>
      <c r="AL380" s="49">
        <f>(+'[81]Nov16loa'!$I$77)/1000</f>
        <v>16997.03</v>
      </c>
      <c r="AM380" s="14">
        <f t="shared" si="35"/>
        <v>495319.58400000003</v>
      </c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8"/>
      <c r="ED380" s="18"/>
      <c r="EE380" s="18"/>
      <c r="EF380" s="18"/>
      <c r="EG380" s="18"/>
      <c r="EH380" s="18"/>
      <c r="EI380" s="18"/>
      <c r="EJ380" s="18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</row>
    <row r="381" spans="1:159" s="19" customFormat="1" ht="15">
      <c r="A381" s="22">
        <v>42735</v>
      </c>
      <c r="B381" s="49">
        <f t="shared" si="30"/>
        <v>8950.664999999999</v>
      </c>
      <c r="C381" s="13">
        <f>(+'[82]Dec16loa'!$H$10)/1000</f>
        <v>8356.407</v>
      </c>
      <c r="D381" s="13">
        <f>(+'[82]Dec16loa'!$H$19)/1000</f>
        <v>490.207</v>
      </c>
      <c r="E381" s="13">
        <f>(+'[82]Dec16loa'!$H$23)/1000</f>
        <v>104.051</v>
      </c>
      <c r="F381" s="49">
        <f>(+'[82]Dec16loa'!$I$25)/1000</f>
        <v>765.232</v>
      </c>
      <c r="G381" s="49">
        <f t="shared" si="31"/>
        <v>17615.524</v>
      </c>
      <c r="H381" s="13">
        <f>(+'[82]Dec16loa'!$H$30)/1000</f>
        <v>8.403</v>
      </c>
      <c r="I381" s="13">
        <f>(+'[82]Dec16loa'!$H$31+'[82]Dec16loa'!$H$32)/1000</f>
        <v>9098.375</v>
      </c>
      <c r="J381" s="13">
        <f>(+'[82]Dec16loa'!$H$33)/1000</f>
        <v>908.447</v>
      </c>
      <c r="K381" s="13">
        <f>(+'[82]Dec16loa'!$H$34)/1000</f>
        <v>276.156</v>
      </c>
      <c r="L381" s="13">
        <f>(+'[82]Dec16loa'!$H$35)/1000</f>
        <v>558.81</v>
      </c>
      <c r="M381" s="13">
        <f>(+'[82]Dec16loa'!$H$36)/1000</f>
        <v>191.344</v>
      </c>
      <c r="N381" s="13">
        <f>(+'[82]Dec16loa'!$H$37)/1000</f>
        <v>263.78</v>
      </c>
      <c r="O381" s="13">
        <f>(+'[82]Dec16loa'!$H$38)/1000</f>
        <v>1566.179</v>
      </c>
      <c r="P381" s="13">
        <f>(+'[82]Dec16loa'!$H$39)/1000</f>
        <v>4744.03</v>
      </c>
      <c r="Q381" s="49">
        <f t="shared" si="32"/>
        <v>25446.493</v>
      </c>
      <c r="R381" s="13">
        <f>(+'[82]Dec16loa'!$H$42)/1000</f>
        <v>21269.484</v>
      </c>
      <c r="S381" s="13">
        <f>(+'[82]Dec16loa'!$H$43)/1000</f>
        <v>2066.904</v>
      </c>
      <c r="T381" s="13">
        <f>(+'[82]Dec16loa'!$H$44)/1000</f>
        <v>2110.105</v>
      </c>
      <c r="U381" s="49">
        <f>(+'[82]Dec16loa'!$I$46)/1000</f>
        <v>35389.526</v>
      </c>
      <c r="V381" s="49">
        <f t="shared" si="33"/>
        <v>10767.39</v>
      </c>
      <c r="W381" s="13">
        <f>(+'[82]Dec16loa'!$H$49)/1000</f>
        <v>7370.13</v>
      </c>
      <c r="X381" s="13">
        <f>(+'[82]Dec16loa'!$H$50)/1000</f>
        <v>346.446</v>
      </c>
      <c r="Y381" s="13">
        <f>(+'[82]Dec16loa'!$H$51)/1000</f>
        <v>3050.814</v>
      </c>
      <c r="Z381" s="49">
        <f>(+'[82]Dec16loa'!$I$53)/1000</f>
        <v>17065.369</v>
      </c>
      <c r="AA381" s="49">
        <f t="shared" si="34"/>
        <v>24195.125</v>
      </c>
      <c r="AB381" s="13">
        <f>(+'[82]Dec16loa'!$H$56)/1000</f>
        <v>3103.426</v>
      </c>
      <c r="AC381" s="13">
        <f>(+'[82]Dec16loa'!$H$57)/1000</f>
        <v>0.003</v>
      </c>
      <c r="AD381" s="13">
        <f>(+'[82]Dec16loa'!$H$58)/1000</f>
        <v>20895.337</v>
      </c>
      <c r="AE381" s="13">
        <f>(+'[82]Dec16loa'!$H$59)/1000</f>
        <v>196.359</v>
      </c>
      <c r="AF381" s="49">
        <f>(+'[82]Dec16loa'!$I$61)/1000</f>
        <v>53327.415</v>
      </c>
      <c r="AG381" s="49">
        <v>0</v>
      </c>
      <c r="AH381" s="49">
        <f>(+'[82]Dec16loa'!$I$63)/1000</f>
        <v>44203.884</v>
      </c>
      <c r="AI381" s="49">
        <f>(+'[82]Dec16loa'!$I$65)/1000</f>
        <v>2241.956</v>
      </c>
      <c r="AJ381" s="49">
        <f>(+'[82]Dec16loa'!$I$67)/1000</f>
        <v>31070.816</v>
      </c>
      <c r="AK381" s="49">
        <f>(+'[82]Dec16loa'!$I$73)/1000</f>
        <v>210609.218</v>
      </c>
      <c r="AL381" s="49">
        <f>(+'[82]Dec16loa'!$I$77)/1000</f>
        <v>13739.84</v>
      </c>
      <c r="AM381" s="14">
        <f t="shared" si="35"/>
        <v>495388.45300000004</v>
      </c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8"/>
      <c r="ED381" s="18"/>
      <c r="EE381" s="18"/>
      <c r="EF381" s="18"/>
      <c r="EG381" s="18"/>
      <c r="EH381" s="18"/>
      <c r="EI381" s="18"/>
      <c r="EJ381" s="18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</row>
    <row r="382" spans="1:159" s="19" customFormat="1" ht="15">
      <c r="A382" s="22">
        <v>42766</v>
      </c>
      <c r="B382" s="49">
        <f t="shared" si="30"/>
        <v>8860.882000000001</v>
      </c>
      <c r="C382" s="13">
        <f>(+'[83]Jan17loa'!$H$10)/1000</f>
        <v>8070.81</v>
      </c>
      <c r="D382" s="13">
        <f>(+'[83]Jan17loa'!$H$19)/1000</f>
        <v>688.857</v>
      </c>
      <c r="E382" s="13">
        <f>(+'[83]Jan17loa'!$H$23)/1000</f>
        <v>101.215</v>
      </c>
      <c r="F382" s="49">
        <f>(+'[83]Jan17loa'!$I$25)/1000</f>
        <v>684.999</v>
      </c>
      <c r="G382" s="49">
        <f t="shared" si="31"/>
        <v>17915.459000000003</v>
      </c>
      <c r="H382" s="13">
        <f>(+'[83]Jan17loa'!$H$30)/1000</f>
        <v>86.841</v>
      </c>
      <c r="I382" s="13">
        <f>(+'[83]Jan17loa'!$H$31+'[83]Jan17loa'!$H$32)/1000</f>
        <v>9321.327</v>
      </c>
      <c r="J382" s="13">
        <f>(+'[83]Jan17loa'!$H$33)/1000</f>
        <v>890.286</v>
      </c>
      <c r="K382" s="13">
        <f>(+'[83]Jan17loa'!$H$34)/1000</f>
        <v>290.646</v>
      </c>
      <c r="L382" s="13">
        <f>(+'[83]Jan17loa'!$H$35)/1000</f>
        <v>545.638</v>
      </c>
      <c r="M382" s="13">
        <f>(+'[83]Jan17loa'!$H$36)/1000</f>
        <v>195.5</v>
      </c>
      <c r="N382" s="13">
        <f>(+'[83]Jan17loa'!$H$37)/1000</f>
        <v>282.484</v>
      </c>
      <c r="O382" s="13">
        <f>(+'[83]Jan17loa'!$H$38)/1000</f>
        <v>1561.015</v>
      </c>
      <c r="P382" s="13">
        <f>(+'[83]Jan17loa'!$H$39)/1000</f>
        <v>4741.722</v>
      </c>
      <c r="Q382" s="49">
        <f t="shared" si="32"/>
        <v>24856.122</v>
      </c>
      <c r="R382" s="13">
        <f>(+'[83]Jan17loa'!$H$42)/1000</f>
        <v>20864.268</v>
      </c>
      <c r="S382" s="13">
        <f>(+'[83]Jan17loa'!$H$43)/1000</f>
        <v>1894.353</v>
      </c>
      <c r="T382" s="13">
        <f>(+'[83]Jan17loa'!$H$44)/1000</f>
        <v>2097.501</v>
      </c>
      <c r="U382" s="49">
        <f>(+'[83]Jan17loa'!$I$46)/1000</f>
        <v>33891.805</v>
      </c>
      <c r="V382" s="49">
        <f t="shared" si="33"/>
        <v>11025.724</v>
      </c>
      <c r="W382" s="13">
        <f>(+'[83]Jan17loa'!$H$49)/1000</f>
        <v>7598.826</v>
      </c>
      <c r="X382" s="13">
        <f>(+'[83]Jan17loa'!$H$50)/1000</f>
        <v>344.082</v>
      </c>
      <c r="Y382" s="13">
        <f>(+'[83]Jan17loa'!$H$51)/1000</f>
        <v>3082.816</v>
      </c>
      <c r="Z382" s="49">
        <f>(+'[83]Jan17loa'!$I$53)/1000</f>
        <v>18250.132</v>
      </c>
      <c r="AA382" s="49">
        <f t="shared" si="34"/>
        <v>27364.608000000004</v>
      </c>
      <c r="AB382" s="13">
        <f>(+'[83]Jan17loa'!$H$56)/1000</f>
        <v>2855.18</v>
      </c>
      <c r="AC382" s="13">
        <f>(+'[83]Jan17loa'!$H$57)/1000</f>
        <v>0.003</v>
      </c>
      <c r="AD382" s="13">
        <f>(+'[83]Jan17loa'!$H$58)/1000</f>
        <v>24281.756</v>
      </c>
      <c r="AE382" s="13">
        <f>(+'[83]Jan17loa'!$H$59)/1000</f>
        <v>227.669</v>
      </c>
      <c r="AF382" s="49">
        <f>(+'[83]Jan17loa'!$I$61)/1000</f>
        <v>53364.826</v>
      </c>
      <c r="AG382" s="49">
        <v>0</v>
      </c>
      <c r="AH382" s="49">
        <f>(+'[83]Jan17loa'!$I$63)/1000</f>
        <v>44560.417</v>
      </c>
      <c r="AI382" s="49">
        <f>(+'[83]Jan17loa'!$I$65)/1000</f>
        <v>2319.359</v>
      </c>
      <c r="AJ382" s="49">
        <f>(+'[83]Jan17loa'!$I$67)/1000</f>
        <v>30944.765</v>
      </c>
      <c r="AK382" s="49">
        <f>(+'[83]Jan17loa'!$I$73)/1000</f>
        <v>211455.209</v>
      </c>
      <c r="AL382" s="49">
        <f>(+'[83]Jan17loa'!$I$77)/1000</f>
        <v>13560.723</v>
      </c>
      <c r="AM382" s="14">
        <f t="shared" si="35"/>
        <v>499055.03</v>
      </c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8"/>
      <c r="ED382" s="18"/>
      <c r="EE382" s="18"/>
      <c r="EF382" s="18"/>
      <c r="EG382" s="18"/>
      <c r="EH382" s="18"/>
      <c r="EI382" s="18"/>
      <c r="EJ382" s="18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</row>
    <row r="383" spans="1:159" s="19" customFormat="1" ht="15">
      <c r="A383" s="22">
        <v>42794</v>
      </c>
      <c r="B383" s="49">
        <f t="shared" si="30"/>
        <v>8871.016000000001</v>
      </c>
      <c r="C383" s="13">
        <f>(+'[84]Feb17loa'!$I$10)/1000</f>
        <v>7687.502</v>
      </c>
      <c r="D383" s="13">
        <f>(+'[84]Feb17loa'!$I$19)/1000</f>
        <v>1082.093</v>
      </c>
      <c r="E383" s="13">
        <f>(+'[84]Feb17loa'!$I$23)/1000</f>
        <v>101.421</v>
      </c>
      <c r="F383" s="49">
        <f>(+'[84]Feb17loa'!$J$25)/1000</f>
        <v>760.259</v>
      </c>
      <c r="G383" s="49">
        <f t="shared" si="31"/>
        <v>22535.506999999998</v>
      </c>
      <c r="H383" s="13">
        <f>(+'[84]Feb17loa'!$I$30)/1000</f>
        <v>13.778</v>
      </c>
      <c r="I383" s="13">
        <f>(+'[84]Feb17loa'!$I$31+'[84]Feb17loa'!$I$32)/1000</f>
        <v>9378.576</v>
      </c>
      <c r="J383" s="13">
        <f>(+'[84]Feb17loa'!$I$33)/1000</f>
        <v>902.377</v>
      </c>
      <c r="K383" s="13">
        <f>(+'[84]Feb17loa'!$I$34)/1000</f>
        <v>296.179</v>
      </c>
      <c r="L383" s="13">
        <f>(+'[84]Feb17loa'!$I$35)/1000</f>
        <v>545.095</v>
      </c>
      <c r="M383" s="13">
        <f>(+'[84]Feb17loa'!$I$36)/1000</f>
        <v>171.587</v>
      </c>
      <c r="N383" s="13">
        <f>(+'[84]Feb17loa'!$I$37)/1000</f>
        <v>284.176</v>
      </c>
      <c r="O383" s="13">
        <f>(+'[84]Feb17loa'!$I$38)/1000</f>
        <v>1566.389</v>
      </c>
      <c r="P383" s="13">
        <f>(+'[84]Feb17loa'!$I$39)/1000</f>
        <v>9377.35</v>
      </c>
      <c r="Q383" s="49">
        <f t="shared" si="32"/>
        <v>26830.964</v>
      </c>
      <c r="R383" s="13">
        <f>(+'[84]Feb17loa'!$I$42)/1000</f>
        <v>22923.328</v>
      </c>
      <c r="S383" s="13">
        <f>(+'[84]Feb17loa'!$I$43)/1000</f>
        <v>1831.967</v>
      </c>
      <c r="T383" s="13">
        <f>(+'[84]Feb17loa'!$I$44)/1000</f>
        <v>2075.669</v>
      </c>
      <c r="U383" s="49">
        <f>(+'[84]Feb17loa'!$J$46)/1000</f>
        <v>33677.602</v>
      </c>
      <c r="V383" s="49">
        <f t="shared" si="33"/>
        <v>11100.675000000001</v>
      </c>
      <c r="W383" s="13">
        <f>(+'[84]Feb17loa'!$I$49)/1000</f>
        <v>7668.84</v>
      </c>
      <c r="X383" s="13">
        <f>(+'[84]Feb17loa'!$I$50)/1000</f>
        <v>350.359</v>
      </c>
      <c r="Y383" s="13">
        <f>(+'[84]Feb17loa'!$I$51)/1000</f>
        <v>3081.476</v>
      </c>
      <c r="Z383" s="49">
        <f>(+'[84]Feb17loa'!$J$53)/1000</f>
        <v>18063.127</v>
      </c>
      <c r="AA383" s="49">
        <f t="shared" si="34"/>
        <v>26255.217</v>
      </c>
      <c r="AB383" s="13">
        <f>(+'[84]Feb17loa'!$I$56)/1000</f>
        <v>2806.134</v>
      </c>
      <c r="AC383" s="13">
        <f>(+'[84]Feb17loa'!$I$57)/1000</f>
        <v>0.426</v>
      </c>
      <c r="AD383" s="13">
        <f>(+'[84]Feb17loa'!$I$58)/1000</f>
        <v>23221.851</v>
      </c>
      <c r="AE383" s="13">
        <f>(+'[84]Feb17loa'!$I$59)/1000</f>
        <v>226.806</v>
      </c>
      <c r="AF383" s="49">
        <f>(+'[84]Feb17loa'!$J$61)/1000</f>
        <v>52847.17</v>
      </c>
      <c r="AG383" s="49">
        <v>0</v>
      </c>
      <c r="AH383" s="49">
        <f>(+'[84]Feb17loa'!$J$63)/1000</f>
        <v>44797.77</v>
      </c>
      <c r="AI383" s="49">
        <f>(+'[84]Feb17loa'!$J$65)/1000</f>
        <v>2149.112</v>
      </c>
      <c r="AJ383" s="49">
        <f>(+'[84]Feb17loa'!$J$67)/1000</f>
        <v>32041.304</v>
      </c>
      <c r="AK383" s="49">
        <f>(+'[84]Feb17loa'!$J$73)/1000</f>
        <v>263037.457</v>
      </c>
      <c r="AL383" s="49">
        <f>(+'[84]Feb17loa'!$J$77)/1000</f>
        <v>27592.533</v>
      </c>
      <c r="AM383" s="14">
        <f t="shared" si="35"/>
        <v>570559.713</v>
      </c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8"/>
      <c r="ED383" s="18"/>
      <c r="EE383" s="18"/>
      <c r="EF383" s="18"/>
      <c r="EG383" s="18"/>
      <c r="EH383" s="18"/>
      <c r="EI383" s="18"/>
      <c r="EJ383" s="18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</row>
    <row r="384" spans="1:159" s="19" customFormat="1" ht="15">
      <c r="A384" s="22">
        <v>42825</v>
      </c>
      <c r="B384" s="49">
        <f t="shared" si="30"/>
        <v>8981.041</v>
      </c>
      <c r="C384" s="13">
        <f>(SUM('[85]M13A_RESIDENTS'!$K$12:$K$18))/1000</f>
        <v>7462.091</v>
      </c>
      <c r="D384" s="13">
        <f>(SUM('[85]M13A_RESIDENTS'!$K$10:$K$11))/1000</f>
        <v>1423.406</v>
      </c>
      <c r="E384" s="13">
        <f>('[85]M13A_RESIDENTS'!$K$9)/1000</f>
        <v>95.544</v>
      </c>
      <c r="F384" s="49">
        <f>(SUM('[85]M13A_RESIDENTS'!$K$28:$K$30))/1000</f>
        <v>859.57</v>
      </c>
      <c r="G384" s="49">
        <f t="shared" si="31"/>
        <v>22727.627999999997</v>
      </c>
      <c r="H384" s="13">
        <f>('[85]M13A_RESIDENTS'!$K$25)/1000</f>
        <v>8.5</v>
      </c>
      <c r="I384" s="13">
        <f>('[85]M13A_RESIDENTS'!$K$21)/1000</f>
        <v>9591.891</v>
      </c>
      <c r="J384" s="13">
        <f>('[85]M13A_RESIDENTS'!$K$24)/1000</f>
        <v>914.472</v>
      </c>
      <c r="K384" s="13">
        <f>('[85]M13A_RESIDENTS'!$K$26)/1000</f>
        <v>352.536</v>
      </c>
      <c r="L384" s="13">
        <f>('[85]M13A_RESIDENTS'!$K$22)/1000</f>
        <v>553.739</v>
      </c>
      <c r="M384" s="13">
        <f>('[85]M13A_RESIDENTS'!$K$23)/1000</f>
        <v>4676.512</v>
      </c>
      <c r="N384" s="13">
        <f>('[85]M13A_RESIDENTS'!$K$19)/1000</f>
        <v>341.072</v>
      </c>
      <c r="O384" s="13">
        <f>('[85]M13A_RESIDENTS'!$K$20)/1000</f>
        <v>1566.176</v>
      </c>
      <c r="P384" s="13">
        <f>('[85]M13A_RESIDENTS'!$K$27)/1000</f>
        <v>4722.73</v>
      </c>
      <c r="Q384" s="49">
        <f t="shared" si="32"/>
        <v>26450.095999999998</v>
      </c>
      <c r="R384" s="13">
        <f>('[85]M13A_RESIDENTS'!$K$32)/1000</f>
        <v>22335.279</v>
      </c>
      <c r="S384" s="13">
        <f>('[85]M13A_RESIDENTS'!$K$31)/1000</f>
        <v>1965.475</v>
      </c>
      <c r="T384" s="13">
        <f>('[85]M13A_RESIDENTS'!$K$33)/1000</f>
        <v>2149.342</v>
      </c>
      <c r="U384" s="49">
        <f>('[85]M13A_RESIDENTS'!$K$8)/1000</f>
        <v>34106.779</v>
      </c>
      <c r="V384" s="49">
        <f t="shared" si="33"/>
        <v>10444.904</v>
      </c>
      <c r="W384" s="13">
        <f>('[85]M13A_RESIDENTS'!$K$36)/1000</f>
        <v>7581.979</v>
      </c>
      <c r="X384" s="13">
        <f>('[85]M13A_RESIDENTS'!$K$35)/1000</f>
        <v>336.663</v>
      </c>
      <c r="Y384" s="13">
        <f>('[85]M13A_RESIDENTS'!$K$34)/1000</f>
        <v>2526.262</v>
      </c>
      <c r="Z384" s="49">
        <f>('[85]M13A_RESIDENTS'!$K$37)/1000</f>
        <v>18262.496</v>
      </c>
      <c r="AA384" s="49">
        <f t="shared" si="34"/>
        <v>26001.361</v>
      </c>
      <c r="AB384" s="13">
        <f>('[85]M13A_RESIDENTS'!$K$4)/1000</f>
        <v>3698.117</v>
      </c>
      <c r="AC384" s="13">
        <f>('[85]M13A_RESIDENTS'!$K$5)/1000</f>
        <v>0</v>
      </c>
      <c r="AD384" s="13">
        <f>('[85]M13A_RESIDENTS'!$K$7)/1000</f>
        <v>22083.004</v>
      </c>
      <c r="AE384" s="13">
        <f>('[85]M13A_RESIDENTS'!$K$6)/1000</f>
        <v>220.24</v>
      </c>
      <c r="AF384" s="49">
        <f>('[85]M13A_RESIDENTS'!$K$38)/1000</f>
        <v>52173.721</v>
      </c>
      <c r="AG384" s="49">
        <v>0</v>
      </c>
      <c r="AH384" s="49">
        <f>('[85]M13A_RESIDENTS'!$K$45)/1000</f>
        <v>45860.626</v>
      </c>
      <c r="AI384" s="49">
        <f>('[85]M13A_RESIDENTS'!$K$39)/1000</f>
        <v>2171.305</v>
      </c>
      <c r="AJ384" s="49">
        <f>(SUM('[85]M13A_RESIDENTS'!$K$40:$K$43))/1000</f>
        <v>33075.931</v>
      </c>
      <c r="AK384" s="49">
        <f>('[85]M13A_RESIDENTS'!$K$44)/1000</f>
        <v>265948.462</v>
      </c>
      <c r="AL384" s="49">
        <f>('[85]SUMMARY'!$C$22)/1000</f>
        <v>28419.655</v>
      </c>
      <c r="AM384" s="14">
        <f t="shared" si="35"/>
        <v>575483.575</v>
      </c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8"/>
      <c r="ED384" s="18"/>
      <c r="EE384" s="18"/>
      <c r="EF384" s="18"/>
      <c r="EG384" s="18"/>
      <c r="EH384" s="18"/>
      <c r="EI384" s="18"/>
      <c r="EJ384" s="18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</row>
    <row r="385" spans="1:159" s="19" customFormat="1" ht="15">
      <c r="A385" s="22">
        <v>42855</v>
      </c>
      <c r="B385" s="49">
        <f t="shared" si="30"/>
        <v>8697.159</v>
      </c>
      <c r="C385" s="13">
        <f>(SUM('[86]M13A_RESIDENTS'!$K$12:$K$18))/1000</f>
        <v>7174.864</v>
      </c>
      <c r="D385" s="13">
        <f>(SUM('[86]M13A_RESIDENTS'!$K$10:$K$11))/1000</f>
        <v>1426.588</v>
      </c>
      <c r="E385" s="13">
        <f>('[86]M13A_RESIDENTS'!$K$9)/1000</f>
        <v>95.707</v>
      </c>
      <c r="F385" s="49">
        <f>(SUM('[86]M13A_RESIDENTS'!$K$28:$K$30))/1000</f>
        <v>779.955</v>
      </c>
      <c r="G385" s="49">
        <f t="shared" si="31"/>
        <v>22302.648</v>
      </c>
      <c r="H385" s="13">
        <f>('[86]M13A_RESIDENTS'!$K$25)/1000</f>
        <v>11.384</v>
      </c>
      <c r="I385" s="13">
        <f>('[86]M13A_RESIDENTS'!$K$21)/1000</f>
        <v>9696.078</v>
      </c>
      <c r="J385" s="13">
        <f>('[86]M13A_RESIDENTS'!$K$24)/1000</f>
        <v>888.357</v>
      </c>
      <c r="K385" s="13">
        <f>('[86]M13A_RESIDENTS'!$K$26)/1000</f>
        <v>384.917</v>
      </c>
      <c r="L385" s="13">
        <f>('[86]M13A_RESIDENTS'!$K$22)/1000</f>
        <v>570.787</v>
      </c>
      <c r="M385" s="13">
        <f>('[86]M13A_RESIDENTS'!$K$23)/1000</f>
        <v>4696.006</v>
      </c>
      <c r="N385" s="13">
        <f>('[86]M13A_RESIDENTS'!$K$19)/1000</f>
        <v>316.909</v>
      </c>
      <c r="O385" s="13">
        <f>('[86]M13A_RESIDENTS'!$K$20)/1000</f>
        <v>1569.989</v>
      </c>
      <c r="P385" s="13">
        <f>('[86]M13A_RESIDENTS'!$K$27)/1000</f>
        <v>4168.221</v>
      </c>
      <c r="Q385" s="49">
        <f t="shared" si="32"/>
        <v>28332.125</v>
      </c>
      <c r="R385" s="13">
        <f>('[86]M13A_RESIDENTS'!$K$32)/1000</f>
        <v>24706.379</v>
      </c>
      <c r="S385" s="13">
        <f>('[86]M13A_RESIDENTS'!$K$31)/1000</f>
        <v>1506.379</v>
      </c>
      <c r="T385" s="13">
        <f>('[86]M13A_RESIDENTS'!$K$33)/1000</f>
        <v>2119.367</v>
      </c>
      <c r="U385" s="49">
        <f>('[86]M13A_RESIDENTS'!$K$8)/1000</f>
        <v>34107.67</v>
      </c>
      <c r="V385" s="49">
        <f t="shared" si="33"/>
        <v>10555.157</v>
      </c>
      <c r="W385" s="13">
        <f>('[86]M13A_RESIDENTS'!$K$36)/1000</f>
        <v>7600.933</v>
      </c>
      <c r="X385" s="13">
        <f>('[86]M13A_RESIDENTS'!$K$35)/1000</f>
        <v>334.955</v>
      </c>
      <c r="Y385" s="13">
        <f>('[86]M13A_RESIDENTS'!$K$34)/1000</f>
        <v>2619.269</v>
      </c>
      <c r="Z385" s="49">
        <f>('[86]M13A_RESIDENTS'!$K$37)/1000</f>
        <v>18138.654</v>
      </c>
      <c r="AA385" s="49">
        <f t="shared" si="34"/>
        <v>26202.175</v>
      </c>
      <c r="AB385" s="13">
        <f>('[86]M13A_RESIDENTS'!$K$4)/1000</f>
        <v>2930.494</v>
      </c>
      <c r="AC385" s="13">
        <f>('[86]M13A_RESIDENTS'!$K$5)/1000</f>
        <v>0</v>
      </c>
      <c r="AD385" s="13">
        <f>('[86]M13A_RESIDENTS'!$K$7)/1000</f>
        <v>23004.838</v>
      </c>
      <c r="AE385" s="13">
        <f>('[86]M13A_RESIDENTS'!$K$6)/1000</f>
        <v>266.843</v>
      </c>
      <c r="AF385" s="49">
        <f>('[86]M13A_RESIDENTS'!$K$38)/1000</f>
        <v>55194.799</v>
      </c>
      <c r="AG385" s="49">
        <v>0</v>
      </c>
      <c r="AH385" s="49">
        <f>('[86]M13A_RESIDENTS'!$K$45)/1000</f>
        <v>45075.036</v>
      </c>
      <c r="AI385" s="49">
        <f>('[86]M13A_RESIDENTS'!$K$39)/1000</f>
        <v>2172.075</v>
      </c>
      <c r="AJ385" s="49">
        <f>(SUM('[86]M13A_RESIDENTS'!$K$40:$K$43))/1000</f>
        <v>34027.328</v>
      </c>
      <c r="AK385" s="49">
        <f>('[86]M13A_RESIDENTS'!$K$44)/1000</f>
        <v>269070.175</v>
      </c>
      <c r="AL385" s="49">
        <f>('[86]SUMMARY'!$C$22)/1000</f>
        <v>25065.765</v>
      </c>
      <c r="AM385" s="14">
        <f t="shared" si="35"/>
        <v>579720.721</v>
      </c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8"/>
      <c r="ED385" s="18"/>
      <c r="EE385" s="18"/>
      <c r="EF385" s="18"/>
      <c r="EG385" s="18"/>
      <c r="EH385" s="18"/>
      <c r="EI385" s="18"/>
      <c r="EJ385" s="18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</row>
    <row r="386" spans="1:159" s="19" customFormat="1" ht="15">
      <c r="A386" s="22">
        <v>42886</v>
      </c>
      <c r="B386" s="49">
        <f t="shared" si="30"/>
        <v>8781.274</v>
      </c>
      <c r="C386" s="13">
        <f>(SUM('[87]M13A_RESIDENTS'!$K$12:$K$18))/1000</f>
        <v>7262.993</v>
      </c>
      <c r="D386" s="13">
        <f>(SUM('[87]M13A_RESIDENTS'!$K$10:$K$11))/1000</f>
        <v>1428.409</v>
      </c>
      <c r="E386" s="13">
        <f>('[87]M13A_RESIDENTS'!$K$9)/1000</f>
        <v>89.872</v>
      </c>
      <c r="F386" s="49">
        <f>(SUM('[87]M13A_RESIDENTS'!$K$28:$K$30))/1000</f>
        <v>819.637</v>
      </c>
      <c r="G386" s="49">
        <f t="shared" si="31"/>
        <v>20856.829</v>
      </c>
      <c r="H386" s="13">
        <f>('[87]M13A_RESIDENTS'!$K$25)/1000</f>
        <v>19.378</v>
      </c>
      <c r="I386" s="13">
        <f>('[87]M13A_RESIDENTS'!$K$21)/1000</f>
        <v>9163.952</v>
      </c>
      <c r="J386" s="13">
        <f>('[87]M13A_RESIDENTS'!$K$24)/1000</f>
        <v>886.729</v>
      </c>
      <c r="K386" s="13">
        <f>('[87]M13A_RESIDENTS'!$K$26)/1000</f>
        <v>394.455</v>
      </c>
      <c r="L386" s="13">
        <f>('[87]M13A_RESIDENTS'!$K$22)/1000</f>
        <v>576.097</v>
      </c>
      <c r="M386" s="13">
        <f>('[87]M13A_RESIDENTS'!$K$23)/1000</f>
        <v>4077.115</v>
      </c>
      <c r="N386" s="13">
        <f>('[87]M13A_RESIDENTS'!$K$19)/1000</f>
        <v>319.959</v>
      </c>
      <c r="O386" s="13">
        <f>('[87]M13A_RESIDENTS'!$K$20)/1000</f>
        <v>1546.495</v>
      </c>
      <c r="P386" s="13">
        <f>('[87]M13A_RESIDENTS'!$K$27)/1000</f>
        <v>3872.649</v>
      </c>
      <c r="Q386" s="49">
        <f t="shared" si="32"/>
        <v>28005.534</v>
      </c>
      <c r="R386" s="13">
        <f>('[87]M13A_RESIDENTS'!$K$32)/1000</f>
        <v>24371.777</v>
      </c>
      <c r="S386" s="13">
        <f>('[87]M13A_RESIDENTS'!$K$31)/1000</f>
        <v>1558.668</v>
      </c>
      <c r="T386" s="13">
        <f>('[87]M13A_RESIDENTS'!$K$33)/1000</f>
        <v>2075.089</v>
      </c>
      <c r="U386" s="49">
        <f>('[87]M13A_RESIDENTS'!$K$8)/1000</f>
        <v>34418.605</v>
      </c>
      <c r="V386" s="49">
        <f t="shared" si="33"/>
        <v>9013.93</v>
      </c>
      <c r="W386" s="13">
        <f>('[87]M13A_RESIDENTS'!$K$36)/1000</f>
        <v>7379.206</v>
      </c>
      <c r="X386" s="13">
        <f>('[87]M13A_RESIDENTS'!$K$35)/1000</f>
        <v>285.989</v>
      </c>
      <c r="Y386" s="13">
        <f>('[87]M13A_RESIDENTS'!$K$34)/1000</f>
        <v>1348.735</v>
      </c>
      <c r="Z386" s="49">
        <f>('[87]M13A_RESIDENTS'!$K$37)/1000</f>
        <v>18108.417</v>
      </c>
      <c r="AA386" s="49">
        <f t="shared" si="34"/>
        <v>24991.813</v>
      </c>
      <c r="AB386" s="13">
        <f>('[87]M13A_RESIDENTS'!$K$4)/1000</f>
        <v>2884.01</v>
      </c>
      <c r="AC386" s="13">
        <f>('[87]M13A_RESIDENTS'!$K$5)/1000</f>
        <v>0.004</v>
      </c>
      <c r="AD386" s="13">
        <f>('[87]M13A_RESIDENTS'!$K$7)/1000</f>
        <v>21838.941</v>
      </c>
      <c r="AE386" s="13">
        <f>('[87]M13A_RESIDENTS'!$K$6)/1000</f>
        <v>268.858</v>
      </c>
      <c r="AF386" s="49">
        <f>('[87]M13A_RESIDENTS'!$K$38)/1000</f>
        <v>56001.164</v>
      </c>
      <c r="AG386" s="49">
        <v>0</v>
      </c>
      <c r="AH386" s="49">
        <f>('[87]M13A_RESIDENTS'!$K$45)/1000</f>
        <v>48024.204</v>
      </c>
      <c r="AI386" s="49">
        <f>('[87]M13A_RESIDENTS'!$K$39)/1000</f>
        <v>2270.971</v>
      </c>
      <c r="AJ386" s="49">
        <f>(SUM('[87]M13A_RESIDENTS'!$K$40:$K$43))/1000</f>
        <v>34338.971</v>
      </c>
      <c r="AK386" s="49">
        <f>('[87]M13A_RESIDENTS'!$K$44)/1000</f>
        <v>271894.049</v>
      </c>
      <c r="AL386" s="49">
        <f>('[87]SUMMARY'!$C$22)/1000</f>
        <v>24938.78</v>
      </c>
      <c r="AM386" s="14">
        <f t="shared" si="35"/>
        <v>582464.1780000001</v>
      </c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8"/>
      <c r="ED386" s="18"/>
      <c r="EE386" s="18"/>
      <c r="EF386" s="18"/>
      <c r="EG386" s="18"/>
      <c r="EH386" s="18"/>
      <c r="EI386" s="18"/>
      <c r="EJ386" s="18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</row>
    <row r="387" spans="1:159" s="19" customFormat="1" ht="15">
      <c r="A387" s="22">
        <v>42916</v>
      </c>
      <c r="B387" s="49">
        <f t="shared" si="30"/>
        <v>8484.677</v>
      </c>
      <c r="C387" s="13">
        <f>(SUM('[88]M13A_RESIDENTS'!$K$12:$K$18))/1000</f>
        <v>6987.585</v>
      </c>
      <c r="D387" s="13">
        <f>(SUM('[88]M13A_RESIDENTS'!$K$10:$K$11))/1000</f>
        <v>1410.056</v>
      </c>
      <c r="E387" s="13">
        <f>('[88]M13A_RESIDENTS'!$K$9)/1000</f>
        <v>87.036</v>
      </c>
      <c r="F387" s="49">
        <f>(SUM('[88]M13A_RESIDENTS'!$K$28:$K$30))/1000</f>
        <v>763.175</v>
      </c>
      <c r="G387" s="49">
        <f t="shared" si="31"/>
        <v>20661.188</v>
      </c>
      <c r="H387" s="13">
        <f>('[88]M13A_RESIDENTS'!$K$25)/1000</f>
        <v>44.014</v>
      </c>
      <c r="I387" s="13">
        <f>('[88]M13A_RESIDENTS'!$K$21)/1000</f>
        <v>8997.544</v>
      </c>
      <c r="J387" s="13">
        <f>('[88]M13A_RESIDENTS'!$K$24)/1000</f>
        <v>871.397</v>
      </c>
      <c r="K387" s="13">
        <f>('[88]M13A_RESIDENTS'!$K$26)/1000</f>
        <v>391.497</v>
      </c>
      <c r="L387" s="13">
        <f>('[88]M13A_RESIDENTS'!$K$22)/1000</f>
        <v>563.391</v>
      </c>
      <c r="M387" s="13">
        <f>('[88]M13A_RESIDENTS'!$K$23)/1000</f>
        <v>4032.381</v>
      </c>
      <c r="N387" s="13">
        <f>('[88]M13A_RESIDENTS'!$K$19)/1000</f>
        <v>295.553</v>
      </c>
      <c r="O387" s="13">
        <f>('[88]M13A_RESIDENTS'!$K$20)/1000</f>
        <v>1575.524</v>
      </c>
      <c r="P387" s="13">
        <f>('[88]M13A_RESIDENTS'!$K$27)/1000</f>
        <v>3889.887</v>
      </c>
      <c r="Q387" s="49">
        <f t="shared" si="32"/>
        <v>27893.921</v>
      </c>
      <c r="R387" s="13">
        <f>('[88]M13A_RESIDENTS'!$K$32)/1000</f>
        <v>24220.545</v>
      </c>
      <c r="S387" s="13">
        <f>('[88]M13A_RESIDENTS'!$K$31)/1000</f>
        <v>1595.054</v>
      </c>
      <c r="T387" s="13">
        <f>('[88]M13A_RESIDENTS'!$K$33)/1000</f>
        <v>2078.322</v>
      </c>
      <c r="U387" s="49">
        <f>('[88]M13A_RESIDENTS'!$K$8)/1000</f>
        <v>33915.553</v>
      </c>
      <c r="V387" s="49">
        <f t="shared" si="33"/>
        <v>8837.989</v>
      </c>
      <c r="W387" s="13">
        <f>('[88]M13A_RESIDENTS'!$K$36)/1000</f>
        <v>7265.102</v>
      </c>
      <c r="X387" s="13">
        <f>('[88]M13A_RESIDENTS'!$K$35)/1000</f>
        <v>248.746</v>
      </c>
      <c r="Y387" s="13">
        <f>('[88]M13A_RESIDENTS'!$K$34)/1000</f>
        <v>1324.141</v>
      </c>
      <c r="Z387" s="49">
        <f>('[88]M13A_RESIDENTS'!$K$37)/1000</f>
        <v>19293.232</v>
      </c>
      <c r="AA387" s="49">
        <f t="shared" si="34"/>
        <v>24556.564000000002</v>
      </c>
      <c r="AB387" s="13">
        <f>('[88]M13A_RESIDENTS'!$K$4)/1000</f>
        <v>2885.278</v>
      </c>
      <c r="AC387" s="13">
        <f>('[88]M13A_RESIDENTS'!$K$5)/1000</f>
        <v>0.008</v>
      </c>
      <c r="AD387" s="13">
        <f>('[88]M13A_RESIDENTS'!$K$7)/1000</f>
        <v>21433.396</v>
      </c>
      <c r="AE387" s="13">
        <f>('[88]M13A_RESIDENTS'!$K$6)/1000</f>
        <v>237.882</v>
      </c>
      <c r="AF387" s="49">
        <f>('[88]M13A_RESIDENTS'!$K$38)/1000</f>
        <v>56874.23</v>
      </c>
      <c r="AG387" s="49">
        <v>0</v>
      </c>
      <c r="AH387" s="49">
        <f>('[88]M13A_RESIDENTS'!$K$45)/1000</f>
        <v>45979.699</v>
      </c>
      <c r="AI387" s="49">
        <f>('[88]M13A_RESIDENTS'!$K$39)/1000</f>
        <v>2301.471</v>
      </c>
      <c r="AJ387" s="49">
        <f>(SUM('[88]M13A_RESIDENTS'!$K$40:$K$43))/1000</f>
        <v>34446.604</v>
      </c>
      <c r="AK387" s="49">
        <f>('[88]M13A_RESIDENTS'!$K$44)/1000</f>
        <v>272606.446</v>
      </c>
      <c r="AL387" s="49">
        <f>('[88]SUMMARY'!$C$22)/1000</f>
        <v>24807.823</v>
      </c>
      <c r="AM387" s="14">
        <f t="shared" si="35"/>
        <v>581422.572</v>
      </c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8"/>
      <c r="ED387" s="18"/>
      <c r="EE387" s="18"/>
      <c r="EF387" s="18"/>
      <c r="EG387" s="18"/>
      <c r="EH387" s="18"/>
      <c r="EI387" s="18"/>
      <c r="EJ387" s="18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</row>
    <row r="388" spans="1:159" s="19" customFormat="1" ht="15">
      <c r="A388" s="22">
        <v>42947</v>
      </c>
      <c r="B388" s="49">
        <f t="shared" si="30"/>
        <v>8499.234</v>
      </c>
      <c r="C388" s="13">
        <f>(SUM('[89]M13A_RESIDENTS'!$K$12:$K$18))/1000</f>
        <v>7010.154</v>
      </c>
      <c r="D388" s="13">
        <f>(SUM('[89]M13A_RESIDENTS'!$K$10:$K$11))/1000</f>
        <v>1404.88</v>
      </c>
      <c r="E388" s="13">
        <f>('[89]M13A_RESIDENTS'!$K$9)/1000</f>
        <v>84.2</v>
      </c>
      <c r="F388" s="49">
        <f>(SUM('[89]M13A_RESIDENTS'!$K$28:$K$30))/1000</f>
        <v>741.455</v>
      </c>
      <c r="G388" s="49">
        <f t="shared" si="31"/>
        <v>21038.544</v>
      </c>
      <c r="H388" s="13">
        <f>('[89]M13A_RESIDENTS'!$K$25)/1000</f>
        <v>14.599</v>
      </c>
      <c r="I388" s="13">
        <f>('[89]M13A_RESIDENTS'!$K$21)/1000</f>
        <v>9004.145</v>
      </c>
      <c r="J388" s="13">
        <f>('[89]M13A_RESIDENTS'!$K$24)/1000</f>
        <v>892.356</v>
      </c>
      <c r="K388" s="13">
        <f>('[89]M13A_RESIDENTS'!$K$26)/1000</f>
        <v>396.151</v>
      </c>
      <c r="L388" s="13">
        <f>('[89]M13A_RESIDENTS'!$K$22)/1000</f>
        <v>436.795</v>
      </c>
      <c r="M388" s="13">
        <f>('[89]M13A_RESIDENTS'!$K$23)/1000</f>
        <v>4032.5</v>
      </c>
      <c r="N388" s="13">
        <f>('[89]M13A_RESIDENTS'!$K$19)/1000</f>
        <v>563.833</v>
      </c>
      <c r="O388" s="13">
        <f>('[89]M13A_RESIDENTS'!$K$20)/1000</f>
        <v>1571.688</v>
      </c>
      <c r="P388" s="13">
        <f>('[89]M13A_RESIDENTS'!$K$27)/1000</f>
        <v>4126.477</v>
      </c>
      <c r="Q388" s="49">
        <f t="shared" si="32"/>
        <v>28184.902000000002</v>
      </c>
      <c r="R388" s="13">
        <f>('[89]M13A_RESIDENTS'!$K$32)/1000</f>
        <v>24493.544</v>
      </c>
      <c r="S388" s="13">
        <f>('[89]M13A_RESIDENTS'!$K$31)/1000</f>
        <v>1669.081</v>
      </c>
      <c r="T388" s="13">
        <f>('[89]M13A_RESIDENTS'!$K$33)/1000</f>
        <v>2022.277</v>
      </c>
      <c r="U388" s="49">
        <f>('[89]M13A_RESIDENTS'!$K$8)/1000</f>
        <v>34162.691</v>
      </c>
      <c r="V388" s="49">
        <f t="shared" si="33"/>
        <v>9080.219000000001</v>
      </c>
      <c r="W388" s="13">
        <f>('[89]M13A_RESIDENTS'!$K$36)/1000</f>
        <v>7519.301</v>
      </c>
      <c r="X388" s="13">
        <f>('[89]M13A_RESIDENTS'!$K$35)/1000</f>
        <v>237.792</v>
      </c>
      <c r="Y388" s="13">
        <f>('[89]M13A_RESIDENTS'!$K$34)/1000</f>
        <v>1323.126</v>
      </c>
      <c r="Z388" s="49">
        <f>('[89]M13A_RESIDENTS'!$K$37)/1000</f>
        <v>19752.879</v>
      </c>
      <c r="AA388" s="49">
        <f t="shared" si="34"/>
        <v>24284.832</v>
      </c>
      <c r="AB388" s="13">
        <f>('[89]M13A_RESIDENTS'!$K$4)/1000</f>
        <v>2776.557</v>
      </c>
      <c r="AC388" s="13">
        <f>('[89]M13A_RESIDENTS'!$K$5)/1000</f>
        <v>0.02</v>
      </c>
      <c r="AD388" s="13">
        <f>('[89]M13A_RESIDENTS'!$K$7)/1000</f>
        <v>21260.475</v>
      </c>
      <c r="AE388" s="13">
        <f>('[89]M13A_RESIDENTS'!$K$6)/1000</f>
        <v>247.78</v>
      </c>
      <c r="AF388" s="49">
        <f>('[89]M13A_RESIDENTS'!$K$38)/1000</f>
        <v>57161.58</v>
      </c>
      <c r="AG388" s="49">
        <v>0</v>
      </c>
      <c r="AH388" s="49">
        <f>('[89]M13A_RESIDENTS'!$K$45)/1000</f>
        <v>45188.997</v>
      </c>
      <c r="AI388" s="49">
        <f>('[89]M13A_RESIDENTS'!$K$39)/1000</f>
        <v>2327.993</v>
      </c>
      <c r="AJ388" s="49">
        <f>(SUM('[89]M13A_RESIDENTS'!$K$40:$K$43))/1000</f>
        <v>34746.322</v>
      </c>
      <c r="AK388" s="49">
        <f>('[89]M13A_RESIDENTS'!$K$44)/1000</f>
        <v>274755.554</v>
      </c>
      <c r="AL388" s="49">
        <f>('[89]SUMMARY'!$C$22)/1000</f>
        <v>24084.154</v>
      </c>
      <c r="AM388" s="14">
        <f t="shared" si="35"/>
        <v>584009.356</v>
      </c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8"/>
      <c r="ED388" s="18"/>
      <c r="EE388" s="18"/>
      <c r="EF388" s="18"/>
      <c r="EG388" s="18"/>
      <c r="EH388" s="18"/>
      <c r="EI388" s="18"/>
      <c r="EJ388" s="18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</row>
    <row r="389" spans="1:159" s="19" customFormat="1" ht="15">
      <c r="A389" s="22">
        <v>42978</v>
      </c>
      <c r="B389" s="49">
        <f t="shared" si="30"/>
        <v>8678.569</v>
      </c>
      <c r="C389" s="13">
        <f>(SUM('[90]M13A_RESIDENTS'!$L$12:$L$18))/1000</f>
        <v>7196.019</v>
      </c>
      <c r="D389" s="13">
        <f>(SUM('[90]M13A_RESIDENTS'!$L$10:$L$11))/1000</f>
        <v>1401.186</v>
      </c>
      <c r="E389" s="13">
        <f>('[90]M13A_RESIDENTS'!$L$9)/1000</f>
        <v>81.364</v>
      </c>
      <c r="F389" s="49">
        <f>(SUM('[90]M13A_RESIDENTS'!$L$28:$L$30))/1000</f>
        <v>953.225</v>
      </c>
      <c r="G389" s="49">
        <f t="shared" si="31"/>
        <v>21992.057</v>
      </c>
      <c r="H389" s="13">
        <f>('[90]M13A_RESIDENTS'!$L$25)/1000</f>
        <v>6.965</v>
      </c>
      <c r="I389" s="13">
        <f>('[90]M13A_RESIDENTS'!$L$21)/1000</f>
        <v>8867.878</v>
      </c>
      <c r="J389" s="13">
        <f>('[90]M13A_RESIDENTS'!$L$24)/1000</f>
        <v>850.298</v>
      </c>
      <c r="K389" s="13">
        <f>('[90]M13A_RESIDENTS'!$L$26)/1000</f>
        <v>389.923</v>
      </c>
      <c r="L389" s="13">
        <f>('[90]M13A_RESIDENTS'!$L$22)/1000</f>
        <v>425.334</v>
      </c>
      <c r="M389" s="13">
        <f>('[90]M13A_RESIDENTS'!$L$23)/1000</f>
        <v>4083.228</v>
      </c>
      <c r="N389" s="13">
        <f>('[90]M13A_RESIDENTS'!$L$19)/1000</f>
        <v>614.116</v>
      </c>
      <c r="O389" s="13">
        <f>('[90]M13A_RESIDENTS'!$L$20)/1000</f>
        <v>1549.236</v>
      </c>
      <c r="P389" s="13">
        <f>('[90]M13A_RESIDENTS'!$L$27)/1000</f>
        <v>5205.079</v>
      </c>
      <c r="Q389" s="49">
        <f t="shared" si="32"/>
        <v>29373.076999999997</v>
      </c>
      <c r="R389" s="13">
        <f>('[90]M13A_RESIDENTS'!$L$32)/1000</f>
        <v>25592.242</v>
      </c>
      <c r="S389" s="13">
        <f>('[90]M13A_RESIDENTS'!$L$31)/1000</f>
        <v>1739.96</v>
      </c>
      <c r="T389" s="13">
        <f>('[90]M13A_RESIDENTS'!$L$33)/1000</f>
        <v>2040.875</v>
      </c>
      <c r="U389" s="49">
        <f>('[90]M13A_RESIDENTS'!$L$8)/1000</f>
        <v>35684.299</v>
      </c>
      <c r="V389" s="49">
        <f t="shared" si="33"/>
        <v>9218.970000000001</v>
      </c>
      <c r="W389" s="13">
        <f>('[90]M13A_RESIDENTS'!$L$36)/1000</f>
        <v>7210.661</v>
      </c>
      <c r="X389" s="13">
        <f>('[90]M13A_RESIDENTS'!$L$35)/1000</f>
        <v>233.609</v>
      </c>
      <c r="Y389" s="13">
        <f>('[90]M13A_RESIDENTS'!$L$34)/1000</f>
        <v>1774.7</v>
      </c>
      <c r="Z389" s="49">
        <f>('[90]M13A_RESIDENTS'!$L$37)/1000</f>
        <v>20011.366</v>
      </c>
      <c r="AA389" s="49">
        <f t="shared" si="34"/>
        <v>25319.514</v>
      </c>
      <c r="AB389" s="13">
        <f>('[90]M13A_RESIDENTS'!$L$4)/1000</f>
        <v>2514.59</v>
      </c>
      <c r="AC389" s="13">
        <f>('[90]M13A_RESIDENTS'!$L$5)/1000</f>
        <v>2.398</v>
      </c>
      <c r="AD389" s="13">
        <f>('[90]M13A_RESIDENTS'!$L$7)/1000</f>
        <v>22555.427</v>
      </c>
      <c r="AE389" s="13">
        <f>('[90]M13A_RESIDENTS'!$L$6)/1000</f>
        <v>247.099</v>
      </c>
      <c r="AF389" s="49">
        <f>('[90]M13A_RESIDENTS'!$L$38)/1000</f>
        <v>60545.848</v>
      </c>
      <c r="AG389" s="49">
        <v>0</v>
      </c>
      <c r="AH389" s="49">
        <f>('[90]M13A_RESIDENTS'!$L$45)/1000</f>
        <v>50204.506</v>
      </c>
      <c r="AI389" s="49">
        <f>('[90]M13A_RESIDENTS'!$L$39)/1000</f>
        <v>2382.086</v>
      </c>
      <c r="AJ389" s="49">
        <f>(SUM('[90]M13A_RESIDENTS'!$L$40:$L$43))/1000</f>
        <v>36719.28</v>
      </c>
      <c r="AK389" s="49">
        <f>('[90]M13A_RESIDENTS'!$L$44)/1000</f>
        <v>289106.35</v>
      </c>
      <c r="AL389" s="49">
        <f>('[90]SUMMARY'!$C$22)/1000</f>
        <v>23435.392</v>
      </c>
      <c r="AM389" s="14">
        <f t="shared" si="35"/>
        <v>613624.539</v>
      </c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8"/>
      <c r="ED389" s="18"/>
      <c r="EE389" s="18"/>
      <c r="EF389" s="18"/>
      <c r="EG389" s="18"/>
      <c r="EH389" s="18"/>
      <c r="EI389" s="18"/>
      <c r="EJ389" s="18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</row>
    <row r="390" spans="1:159" s="19" customFormat="1" ht="15">
      <c r="A390" s="22">
        <v>43008</v>
      </c>
      <c r="B390" s="49">
        <f t="shared" si="30"/>
        <v>8921.994999999999</v>
      </c>
      <c r="C390" s="13">
        <f>(SUM('[91]M13A_RESIDENTS'!$L$12:$L$18))/1000</f>
        <v>7195.173</v>
      </c>
      <c r="D390" s="13">
        <f>(SUM('[91]M13A_RESIDENTS'!$L$10:$L$11))/1000</f>
        <v>1645.403</v>
      </c>
      <c r="E390" s="13">
        <f>('[91]M13A_RESIDENTS'!$L$9)/1000</f>
        <v>81.419</v>
      </c>
      <c r="F390" s="49">
        <f>(SUM('[91]M13A_RESIDENTS'!$L$28:$L$30))/1000</f>
        <v>977.308</v>
      </c>
      <c r="G390" s="49">
        <f t="shared" si="31"/>
        <v>22690.092</v>
      </c>
      <c r="H390" s="13">
        <f>('[91]M13A_RESIDENTS'!$L$25)/1000</f>
        <v>7.948</v>
      </c>
      <c r="I390" s="13">
        <f>('[91]M13A_RESIDENTS'!$L$21)/1000</f>
        <v>9086.388</v>
      </c>
      <c r="J390" s="13">
        <f>('[91]M13A_RESIDENTS'!$L$24)/1000</f>
        <v>832.812</v>
      </c>
      <c r="K390" s="13">
        <f>('[91]M13A_RESIDENTS'!$L$26)/1000</f>
        <v>387.918</v>
      </c>
      <c r="L390" s="13">
        <f>('[91]M13A_RESIDENTS'!$L$22)/1000</f>
        <v>539.329</v>
      </c>
      <c r="M390" s="13">
        <f>('[91]M13A_RESIDENTS'!$L$23)/1000</f>
        <v>4104.205</v>
      </c>
      <c r="N390" s="13">
        <f>('[91]M13A_RESIDENTS'!$L$19)/1000</f>
        <v>652.988</v>
      </c>
      <c r="O390" s="13">
        <f>('[91]M13A_RESIDENTS'!$L$20)/1000</f>
        <v>1604.715</v>
      </c>
      <c r="P390" s="13">
        <f>('[91]M13A_RESIDENTS'!$L$27)/1000</f>
        <v>5473.789</v>
      </c>
      <c r="Q390" s="49">
        <f t="shared" si="32"/>
        <v>28751.451</v>
      </c>
      <c r="R390" s="13">
        <f>('[91]M13A_RESIDENTS'!$L$32)/1000</f>
        <v>24978.969</v>
      </c>
      <c r="S390" s="13">
        <f>('[91]M13A_RESIDENTS'!$L$31)/1000</f>
        <v>1728.603</v>
      </c>
      <c r="T390" s="13">
        <f>('[91]M13A_RESIDENTS'!$L$33)/1000</f>
        <v>2043.879</v>
      </c>
      <c r="U390" s="49">
        <f>('[91]M13A_RESIDENTS'!$L$8)/1000</f>
        <v>35944.4</v>
      </c>
      <c r="V390" s="49">
        <f t="shared" si="33"/>
        <v>10385.585</v>
      </c>
      <c r="W390" s="13">
        <f>('[91]M13A_RESIDENTS'!$L$36)/1000</f>
        <v>7968.121</v>
      </c>
      <c r="X390" s="13">
        <f>('[91]M13A_RESIDENTS'!$L$35)/1000</f>
        <v>249.108</v>
      </c>
      <c r="Y390" s="13">
        <f>('[91]M13A_RESIDENTS'!$L$34)/1000</f>
        <v>2168.356</v>
      </c>
      <c r="Z390" s="49">
        <f>('[91]M13A_RESIDENTS'!$L$37)/1000</f>
        <v>19566.339</v>
      </c>
      <c r="AA390" s="49">
        <f t="shared" si="34"/>
        <v>24213.797</v>
      </c>
      <c r="AB390" s="13">
        <f>('[91]M13A_RESIDENTS'!$L$4)/1000</f>
        <v>2458.869</v>
      </c>
      <c r="AC390" s="13">
        <f>('[91]M13A_RESIDENTS'!$L$5)/1000</f>
        <v>2.401</v>
      </c>
      <c r="AD390" s="13">
        <f>('[91]M13A_RESIDENTS'!$L$7)/1000</f>
        <v>21503.749</v>
      </c>
      <c r="AE390" s="13">
        <f>('[91]M13A_RESIDENTS'!$L$6)/1000</f>
        <v>248.778</v>
      </c>
      <c r="AF390" s="49">
        <f>('[91]M13A_RESIDENTS'!$L$38)/1000</f>
        <v>60890.2</v>
      </c>
      <c r="AG390" s="49">
        <v>0</v>
      </c>
      <c r="AH390" s="49">
        <f>('[91]M13A_RESIDENTS'!$L$45)/1000</f>
        <v>50831.563</v>
      </c>
      <c r="AI390" s="49">
        <f>('[91]M13A_RESIDENTS'!$L$39)/1000</f>
        <v>2598.048</v>
      </c>
      <c r="AJ390" s="49">
        <f>(SUM('[91]M13A_RESIDENTS'!$L$40:$L$43))/1000</f>
        <v>37304.089</v>
      </c>
      <c r="AK390" s="49">
        <f>('[91]M13A_RESIDENTS'!$L$44)/1000</f>
        <v>293808.226</v>
      </c>
      <c r="AL390" s="49">
        <f>('[91]SUMMARY'!$C$22)/1000</f>
        <v>23566.169</v>
      </c>
      <c r="AM390" s="14">
        <f t="shared" si="35"/>
        <v>620449.2620000001</v>
      </c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8"/>
      <c r="ED390" s="18"/>
      <c r="EE390" s="18"/>
      <c r="EF390" s="18"/>
      <c r="EG390" s="18"/>
      <c r="EH390" s="18"/>
      <c r="EI390" s="18"/>
      <c r="EJ390" s="18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</row>
    <row r="391" spans="1:159" s="19" customFormat="1" ht="15">
      <c r="A391" s="22">
        <v>43039</v>
      </c>
      <c r="B391" s="49">
        <f t="shared" si="30"/>
        <v>8748.243999999999</v>
      </c>
      <c r="C391" s="13">
        <f>(SUM('[92]M13A_RESIDENTS'!$L$12:$L$18))/1000</f>
        <v>7041.235</v>
      </c>
      <c r="D391" s="13">
        <f>(SUM('[92]M13A_RESIDENTS'!$L$10:$L$11))/1000</f>
        <v>1631.317</v>
      </c>
      <c r="E391" s="13">
        <f>('[92]M13A_RESIDENTS'!$L$9)/1000</f>
        <v>75.692</v>
      </c>
      <c r="F391" s="49">
        <f>(SUM('[92]M13A_RESIDENTS'!$L$28:$L$30))/1000</f>
        <v>991.654</v>
      </c>
      <c r="G391" s="49">
        <f t="shared" si="31"/>
        <v>22176.638</v>
      </c>
      <c r="H391" s="13">
        <f>('[92]M13A_RESIDENTS'!$L$25)/1000</f>
        <v>7.007</v>
      </c>
      <c r="I391" s="13">
        <f>('[92]M13A_RESIDENTS'!$L$21)/1000</f>
        <v>8990.674</v>
      </c>
      <c r="J391" s="13">
        <f>('[92]M13A_RESIDENTS'!$L$24)/1000</f>
        <v>803.701</v>
      </c>
      <c r="K391" s="13">
        <f>('[92]M13A_RESIDENTS'!$L$26)/1000</f>
        <v>392.95</v>
      </c>
      <c r="L391" s="13">
        <f>('[92]M13A_RESIDENTS'!$L$22)/1000</f>
        <v>555.24</v>
      </c>
      <c r="M391" s="13">
        <f>('[92]M13A_RESIDENTS'!$L$23)/1000</f>
        <v>4025.363</v>
      </c>
      <c r="N391" s="13">
        <f>('[92]M13A_RESIDENTS'!$L$19)/1000</f>
        <v>621.281</v>
      </c>
      <c r="O391" s="13">
        <f>('[92]M13A_RESIDENTS'!$L$20)/1000</f>
        <v>1532.461</v>
      </c>
      <c r="P391" s="13">
        <f>('[92]M13A_RESIDENTS'!$L$27)/1000</f>
        <v>5247.961</v>
      </c>
      <c r="Q391" s="49">
        <f t="shared" si="32"/>
        <v>28556.337</v>
      </c>
      <c r="R391" s="13">
        <f>('[92]M13A_RESIDENTS'!$L$32)/1000</f>
        <v>23950.803</v>
      </c>
      <c r="S391" s="13">
        <f>('[92]M13A_RESIDENTS'!$L$31)/1000</f>
        <v>2595.525</v>
      </c>
      <c r="T391" s="13">
        <f>('[92]M13A_RESIDENTS'!$L$33)/1000</f>
        <v>2010.009</v>
      </c>
      <c r="U391" s="49">
        <f>('[92]M13A_RESIDENTS'!$L$8)/1000</f>
        <v>35298.824</v>
      </c>
      <c r="V391" s="49">
        <f t="shared" si="33"/>
        <v>10159.369</v>
      </c>
      <c r="W391" s="13">
        <f>('[92]M13A_RESIDENTS'!$L$36)/1000</f>
        <v>7791.407</v>
      </c>
      <c r="X391" s="13">
        <f>('[92]M13A_RESIDENTS'!$L$35)/1000</f>
        <v>270.078</v>
      </c>
      <c r="Y391" s="13">
        <f>('[92]M13A_RESIDENTS'!$L$34)/1000</f>
        <v>2097.884</v>
      </c>
      <c r="Z391" s="49">
        <f>('[92]M13A_RESIDENTS'!$L$37)/1000</f>
        <v>19694.661</v>
      </c>
      <c r="AA391" s="49">
        <f t="shared" si="34"/>
        <v>23154.246</v>
      </c>
      <c r="AB391" s="13">
        <f>('[92]M13A_RESIDENTS'!$L$4)/1000</f>
        <v>2518.811</v>
      </c>
      <c r="AC391" s="13">
        <f>('[92]M13A_RESIDENTS'!$L$5)/1000</f>
        <v>2.414</v>
      </c>
      <c r="AD391" s="13">
        <f>('[92]M13A_RESIDENTS'!$L$7)/1000</f>
        <v>20401.292</v>
      </c>
      <c r="AE391" s="13">
        <f>('[92]M13A_RESIDENTS'!$L$6)/1000</f>
        <v>231.729</v>
      </c>
      <c r="AF391" s="49">
        <f>('[92]M13A_RESIDENTS'!$L$38)/1000</f>
        <v>60251.516</v>
      </c>
      <c r="AG391" s="49">
        <v>0</v>
      </c>
      <c r="AH391" s="49">
        <f>('[92]M13A_RESIDENTS'!$L$45)/1000</f>
        <v>51264.952</v>
      </c>
      <c r="AI391" s="49">
        <f>('[92]M13A_RESIDENTS'!$L$39)/1000</f>
        <v>2580.15</v>
      </c>
      <c r="AJ391" s="49">
        <f>(SUM('[92]M13A_RESIDENTS'!$L$40:$L$43))/1000</f>
        <v>36847.953</v>
      </c>
      <c r="AK391" s="49">
        <f>('[92]M13A_RESIDENTS'!$L$44)/1000</f>
        <v>296573.957</v>
      </c>
      <c r="AL391" s="49">
        <f>('[92]SUMMARY'!$C$22)/1000</f>
        <v>24123.976</v>
      </c>
      <c r="AM391" s="14">
        <f t="shared" si="35"/>
        <v>620422.477</v>
      </c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8"/>
      <c r="ED391" s="18"/>
      <c r="EE391" s="18"/>
      <c r="EF391" s="18"/>
      <c r="EG391" s="18"/>
      <c r="EH391" s="18"/>
      <c r="EI391" s="18"/>
      <c r="EJ391" s="18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</row>
    <row r="392" spans="1:159" s="19" customFormat="1" ht="15">
      <c r="A392" s="22">
        <v>43069</v>
      </c>
      <c r="B392" s="49">
        <f t="shared" si="30"/>
        <v>8689.359</v>
      </c>
      <c r="C392" s="13">
        <f>(SUM('[93]M13A_RESIDENTS'!$L$12:$L$18))/1000</f>
        <v>6988.346</v>
      </c>
      <c r="D392" s="13">
        <f>(SUM('[93]M13A_RESIDENTS'!$L$10:$L$11))/1000</f>
        <v>1625.306</v>
      </c>
      <c r="E392" s="13">
        <f>('[93]M13A_RESIDENTS'!$L$9)/1000</f>
        <v>75.707</v>
      </c>
      <c r="F392" s="49">
        <f>(SUM('[93]M13A_RESIDENTS'!$L$28:$L$30))/1000</f>
        <v>986.082</v>
      </c>
      <c r="G392" s="49">
        <f t="shared" si="31"/>
        <v>22455.913999999997</v>
      </c>
      <c r="H392" s="13">
        <f>('[93]M13A_RESIDENTS'!$L$25)/1000</f>
        <v>4.074</v>
      </c>
      <c r="I392" s="13">
        <f>('[93]M13A_RESIDENTS'!$L$21)/1000</f>
        <v>9094.599</v>
      </c>
      <c r="J392" s="13">
        <f>('[93]M13A_RESIDENTS'!$L$24)/1000</f>
        <v>751.973</v>
      </c>
      <c r="K392" s="13">
        <f>('[93]M13A_RESIDENTS'!$L$26)/1000</f>
        <v>405.078</v>
      </c>
      <c r="L392" s="13">
        <f>('[93]M13A_RESIDENTS'!$L$22)/1000</f>
        <v>517.731</v>
      </c>
      <c r="M392" s="13">
        <f>('[93]M13A_RESIDENTS'!$L$23)/1000</f>
        <v>3970.845</v>
      </c>
      <c r="N392" s="13">
        <f>('[93]M13A_RESIDENTS'!$L$19)/1000</f>
        <v>568.423</v>
      </c>
      <c r="O392" s="13">
        <f>('[93]M13A_RESIDENTS'!$L$20)/1000</f>
        <v>1602.055</v>
      </c>
      <c r="P392" s="13">
        <f>('[93]M13A_RESIDENTS'!$L$27)/1000</f>
        <v>5541.136</v>
      </c>
      <c r="Q392" s="49">
        <f t="shared" si="32"/>
        <v>28176.782</v>
      </c>
      <c r="R392" s="13">
        <f>('[93]M13A_RESIDENTS'!$L$32)/1000</f>
        <v>23775.495</v>
      </c>
      <c r="S392" s="13">
        <f>('[93]M13A_RESIDENTS'!$L$31)/1000</f>
        <v>2435.123</v>
      </c>
      <c r="T392" s="13">
        <f>('[93]M13A_RESIDENTS'!$L$33)/1000</f>
        <v>1966.164</v>
      </c>
      <c r="U392" s="49">
        <f>('[93]M13A_RESIDENTS'!$L$8)/1000</f>
        <v>35615.235</v>
      </c>
      <c r="V392" s="49">
        <f t="shared" si="33"/>
        <v>10099.842</v>
      </c>
      <c r="W392" s="13">
        <f>('[93]M13A_RESIDENTS'!$L$36)/1000</f>
        <v>7762.137</v>
      </c>
      <c r="X392" s="13">
        <f>('[93]M13A_RESIDENTS'!$L$35)/1000</f>
        <v>232.117</v>
      </c>
      <c r="Y392" s="13">
        <f>('[93]M13A_RESIDENTS'!$L$34)/1000</f>
        <v>2105.588</v>
      </c>
      <c r="Z392" s="49">
        <f>('[93]M13A_RESIDENTS'!$L$37)/1000</f>
        <v>19800.898</v>
      </c>
      <c r="AA392" s="49">
        <f t="shared" si="34"/>
        <v>24360.815000000002</v>
      </c>
      <c r="AB392" s="13">
        <f>('[93]M13A_RESIDENTS'!$L$4)/1000</f>
        <v>2565.887</v>
      </c>
      <c r="AC392" s="13">
        <f>('[93]M13A_RESIDENTS'!$L$5)/1000</f>
        <v>1.425</v>
      </c>
      <c r="AD392" s="13">
        <f>('[93]M13A_RESIDENTS'!$L$7)/1000</f>
        <v>21565.982</v>
      </c>
      <c r="AE392" s="13">
        <f>('[93]M13A_RESIDENTS'!$L$6)/1000</f>
        <v>227.521</v>
      </c>
      <c r="AF392" s="49">
        <f>('[93]M13A_RESIDENTS'!$L$38)/1000</f>
        <v>61987.633</v>
      </c>
      <c r="AG392" s="49">
        <v>0</v>
      </c>
      <c r="AH392" s="49">
        <f>('[93]M13A_RESIDENTS'!$L$45)/1000</f>
        <v>50859.308</v>
      </c>
      <c r="AI392" s="49">
        <f>('[93]M13A_RESIDENTS'!$L$39)/1000</f>
        <v>2534.282</v>
      </c>
      <c r="AJ392" s="49">
        <f>(SUM('[93]M13A_RESIDENTS'!$L$40:$L$43))/1000</f>
        <v>38125.438</v>
      </c>
      <c r="AK392" s="49">
        <f>('[93]M13A_RESIDENTS'!$L$44)/1000</f>
        <v>301171.105</v>
      </c>
      <c r="AL392" s="49">
        <f>('[93]SUMMARY'!$C$22)/1000</f>
        <v>25176.566</v>
      </c>
      <c r="AM392" s="14">
        <f t="shared" si="35"/>
        <v>630039.259</v>
      </c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8"/>
      <c r="ED392" s="18"/>
      <c r="EE392" s="18"/>
      <c r="EF392" s="18"/>
      <c r="EG392" s="18"/>
      <c r="EH392" s="18"/>
      <c r="EI392" s="18"/>
      <c r="EJ392" s="18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</row>
    <row r="393" spans="1:159" s="19" customFormat="1" ht="15">
      <c r="A393" s="22">
        <v>43100</v>
      </c>
      <c r="B393" s="49">
        <f t="shared" si="30"/>
        <v>7978.0509999999995</v>
      </c>
      <c r="C393" s="13">
        <f>(SUM('[94]M13A_RESIDENTS'!$L$12:$L$18))/1000</f>
        <v>6910.467</v>
      </c>
      <c r="D393" s="13">
        <f>(SUM('[94]M13A_RESIDENTS'!$L$10:$L$11))/1000</f>
        <v>994.776</v>
      </c>
      <c r="E393" s="13">
        <f>('[94]M13A_RESIDENTS'!$L$9)/1000</f>
        <v>72.808</v>
      </c>
      <c r="F393" s="49">
        <f>(SUM('[94]M13A_RESIDENTS'!$L$28:$L$30))/1000</f>
        <v>976.495</v>
      </c>
      <c r="G393" s="49">
        <f t="shared" si="31"/>
        <v>22387.837000000003</v>
      </c>
      <c r="H393" s="13">
        <f>('[94]M13A_RESIDENTS'!$L$25)/1000</f>
        <v>3.901</v>
      </c>
      <c r="I393" s="13">
        <f>('[94]M13A_RESIDENTS'!$L$21)/1000</f>
        <v>9252.519</v>
      </c>
      <c r="J393" s="13">
        <f>('[94]M13A_RESIDENTS'!$L$24)/1000</f>
        <v>753.351</v>
      </c>
      <c r="K393" s="13">
        <f>('[94]M13A_RESIDENTS'!$L$26)/1000</f>
        <v>389.77</v>
      </c>
      <c r="L393" s="13">
        <f>('[94]M13A_RESIDENTS'!$L$22)/1000</f>
        <v>509.876</v>
      </c>
      <c r="M393" s="13">
        <f>('[94]M13A_RESIDENTS'!$L$23)/1000</f>
        <v>3943.761</v>
      </c>
      <c r="N393" s="13">
        <f>('[94]M13A_RESIDENTS'!$L$19)/1000</f>
        <v>629.395</v>
      </c>
      <c r="O393" s="13">
        <f>('[94]M13A_RESIDENTS'!$L$20)/1000</f>
        <v>1568.847</v>
      </c>
      <c r="P393" s="13">
        <f>('[94]M13A_RESIDENTS'!$L$27)/1000</f>
        <v>5336.417</v>
      </c>
      <c r="Q393" s="49">
        <f t="shared" si="32"/>
        <v>28601.274</v>
      </c>
      <c r="R393" s="13">
        <f>('[94]M13A_RESIDENTS'!$L$32)/1000</f>
        <v>24415.624</v>
      </c>
      <c r="S393" s="13">
        <f>('[94]M13A_RESIDENTS'!$L$31)/1000</f>
        <v>2287.806</v>
      </c>
      <c r="T393" s="13">
        <f>('[94]M13A_RESIDENTS'!$L$33)/1000</f>
        <v>1897.844</v>
      </c>
      <c r="U393" s="49">
        <f>('[94]M13A_RESIDENTS'!$L$8)/1000</f>
        <v>8101.186</v>
      </c>
      <c r="V393" s="49">
        <f t="shared" si="33"/>
        <v>10644.288999999999</v>
      </c>
      <c r="W393" s="13">
        <f>('[94]M13A_RESIDENTS'!$L$36)/1000</f>
        <v>8336.677</v>
      </c>
      <c r="X393" s="13">
        <f>('[94]M13A_RESIDENTS'!$L$35)/1000</f>
        <v>229.8</v>
      </c>
      <c r="Y393" s="13">
        <f>('[94]M13A_RESIDENTS'!$L$34)/1000</f>
        <v>2077.812</v>
      </c>
      <c r="Z393" s="49">
        <f>('[94]M13A_RESIDENTS'!$L$37)/1000</f>
        <v>26975.827</v>
      </c>
      <c r="AA393" s="49">
        <f t="shared" si="34"/>
        <v>23636.921000000002</v>
      </c>
      <c r="AB393" s="13">
        <f>('[94]M13A_RESIDENTS'!$L$4)/1000</f>
        <v>2917.15</v>
      </c>
      <c r="AC393" s="13">
        <f>('[94]M13A_RESIDENTS'!$L$5)/1000</f>
        <v>0.552</v>
      </c>
      <c r="AD393" s="13">
        <f>('[94]M13A_RESIDENTS'!$L$7)/1000</f>
        <v>20490.5</v>
      </c>
      <c r="AE393" s="13">
        <f>('[94]M13A_RESIDENTS'!$L$6)/1000</f>
        <v>228.719</v>
      </c>
      <c r="AF393" s="49">
        <f>('[94]M13A_RESIDENTS'!$L$38)/1000</f>
        <v>59804.879</v>
      </c>
      <c r="AG393" s="49">
        <f>('[94]M13A_RESIDENTS'!$L$45)/1000</f>
        <v>0</v>
      </c>
      <c r="AH393" s="49">
        <f>('[94]M13A_RESIDENTS'!$L$46)/1000</f>
        <v>52634.975</v>
      </c>
      <c r="AI393" s="49">
        <f>('[94]M13A_RESIDENTS'!$L$39)/1000</f>
        <v>2491.686</v>
      </c>
      <c r="AJ393" s="49">
        <f>(SUM('[94]M13A_RESIDENTS'!$L$40:$L$43))/1000</f>
        <v>39381.854</v>
      </c>
      <c r="AK393" s="49">
        <f>('[94]M13A_RESIDENTS'!$L$44)/1000</f>
        <v>305905.677</v>
      </c>
      <c r="AL393" s="49">
        <f>('[94]SUMMARY'!$C$23)/1000</f>
        <v>25382.018</v>
      </c>
      <c r="AM393" s="14">
        <f t="shared" si="35"/>
        <v>614902.9690000002</v>
      </c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8"/>
      <c r="ED393" s="18"/>
      <c r="EE393" s="18"/>
      <c r="EF393" s="18"/>
      <c r="EG393" s="18"/>
      <c r="EH393" s="18"/>
      <c r="EI393" s="18"/>
      <c r="EJ393" s="18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</row>
    <row r="394" spans="1:159" s="19" customFormat="1" ht="15">
      <c r="A394" s="22">
        <v>43131</v>
      </c>
      <c r="B394" s="49">
        <f t="shared" si="30"/>
        <v>8609.276</v>
      </c>
      <c r="C394" s="13">
        <f>(SUM('[95]M13A_RESIDENTS'!$L$12:$L$18))/1000</f>
        <v>6711.306</v>
      </c>
      <c r="D394" s="13">
        <f>(SUM('[95]M13A_RESIDENTS'!$L$10:$L$11))/1000</f>
        <v>1155.786</v>
      </c>
      <c r="E394" s="13">
        <f>('[95]M13A_RESIDENTS'!$L$9)/1000</f>
        <v>742.184</v>
      </c>
      <c r="F394" s="49">
        <f>(SUM('[95]M13A_RESIDENTS'!$L$28:$L$30))/1000</f>
        <v>965.139</v>
      </c>
      <c r="G394" s="49">
        <f t="shared" si="31"/>
        <v>22898.944000000003</v>
      </c>
      <c r="H394" s="13">
        <f>('[95]M13A_RESIDENTS'!$L$25)/1000</f>
        <v>5.457</v>
      </c>
      <c r="I394" s="13">
        <f>('[95]M13A_RESIDENTS'!$L$21)/1000</f>
        <v>9263.416</v>
      </c>
      <c r="J394" s="13">
        <f>('[95]M13A_RESIDENTS'!$L$24)/1000</f>
        <v>735.183</v>
      </c>
      <c r="K394" s="13">
        <f>('[95]M13A_RESIDENTS'!$L$26)/1000</f>
        <v>396.379</v>
      </c>
      <c r="L394" s="13">
        <f>('[95]M13A_RESIDENTS'!$L$22)/1000</f>
        <v>476.391</v>
      </c>
      <c r="M394" s="13">
        <f>('[95]M13A_RESIDENTS'!$L$23)/1000</f>
        <v>3963.971</v>
      </c>
      <c r="N394" s="13">
        <f>('[95]M13A_RESIDENTS'!$L$19)/1000</f>
        <v>777.341</v>
      </c>
      <c r="O394" s="13">
        <f>('[95]M13A_RESIDENTS'!$L$20)/1000</f>
        <v>1499.247</v>
      </c>
      <c r="P394" s="13">
        <f>('[95]M13A_RESIDENTS'!$L$27)/1000</f>
        <v>5781.559</v>
      </c>
      <c r="Q394" s="49">
        <f t="shared" si="32"/>
        <v>28925.814000000002</v>
      </c>
      <c r="R394" s="13">
        <f>('[95]M13A_RESIDENTS'!$L$32)/1000</f>
        <v>24641.538</v>
      </c>
      <c r="S394" s="13">
        <f>('[95]M13A_RESIDENTS'!$L$31)/1000</f>
        <v>2391.505</v>
      </c>
      <c r="T394" s="13">
        <f>('[95]M13A_RESIDENTS'!$L$33)/1000</f>
        <v>1892.771</v>
      </c>
      <c r="U394" s="49">
        <f>('[95]M13A_RESIDENTS'!$L$8)/1000</f>
        <v>7857.635</v>
      </c>
      <c r="V394" s="49">
        <f t="shared" si="33"/>
        <v>10562.811</v>
      </c>
      <c r="W394" s="13">
        <f>('[95]M13A_RESIDENTS'!$L$36)/1000</f>
        <v>8194.231</v>
      </c>
      <c r="X394" s="13">
        <f>('[95]M13A_RESIDENTS'!$L$35)/1000</f>
        <v>228.063</v>
      </c>
      <c r="Y394" s="13">
        <f>('[95]M13A_RESIDENTS'!$L$34)/1000</f>
        <v>2140.517</v>
      </c>
      <c r="Z394" s="49">
        <f>('[95]M13A_RESIDENTS'!$L$37)/1000</f>
        <v>26160.028</v>
      </c>
      <c r="AA394" s="49">
        <f t="shared" si="34"/>
        <v>23082.333</v>
      </c>
      <c r="AB394" s="13">
        <f>('[95]M13A_RESIDENTS'!$L$4)/1000</f>
        <v>2625.287</v>
      </c>
      <c r="AC394" s="13">
        <f>('[95]M13A_RESIDENTS'!$L$5)/1000</f>
        <v>0</v>
      </c>
      <c r="AD394" s="13">
        <f>('[95]M13A_RESIDENTS'!$L$7)/1000</f>
        <v>20232.832</v>
      </c>
      <c r="AE394" s="13">
        <f>('[95]M13A_RESIDENTS'!$L$6)/1000</f>
        <v>224.214</v>
      </c>
      <c r="AF394" s="49">
        <f>('[95]M13A_RESIDENTS'!$L$38)/1000</f>
        <v>60041.824</v>
      </c>
      <c r="AG394" s="49">
        <f>('[95]M13A_RESIDENTS'!$L$45)/1000</f>
        <v>0</v>
      </c>
      <c r="AH394" s="49">
        <f>('[95]M13A_RESIDENTS'!$L$46)/1000</f>
        <v>51126.658</v>
      </c>
      <c r="AI394" s="49">
        <f>('[95]M13A_RESIDENTS'!$L$39)/1000</f>
        <v>2488.26</v>
      </c>
      <c r="AJ394" s="49">
        <f>(SUM('[95]M13A_RESIDENTS'!$L$40:$L$43))/1000</f>
        <v>39548.748</v>
      </c>
      <c r="AK394" s="49">
        <f>('[95]M13A_RESIDENTS'!$L$44)/1000</f>
        <v>307889.136</v>
      </c>
      <c r="AL394" s="49">
        <f>('[95]SUMMARY'!$C$23)/1000</f>
        <v>25629.358</v>
      </c>
      <c r="AM394" s="14">
        <f t="shared" si="35"/>
        <v>615785.964</v>
      </c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8"/>
      <c r="ED394" s="18"/>
      <c r="EE394" s="18"/>
      <c r="EF394" s="18"/>
      <c r="EG394" s="18"/>
      <c r="EH394" s="18"/>
      <c r="EI394" s="18"/>
      <c r="EJ394" s="18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</row>
    <row r="395" spans="1:159" s="19" customFormat="1" ht="15">
      <c r="A395" s="22">
        <v>43159</v>
      </c>
      <c r="B395" s="49">
        <f t="shared" si="30"/>
        <v>9427.495</v>
      </c>
      <c r="C395" s="13">
        <f>(SUM('[96]M13A_RESIDENTS'!$L$12:$L$18))/1000</f>
        <v>6757.923</v>
      </c>
      <c r="D395" s="13">
        <f>(SUM('[96]M13A_RESIDENTS'!$L$10:$L$11))/1000</f>
        <v>1650.659</v>
      </c>
      <c r="E395" s="13">
        <f>('[96]M13A_RESIDENTS'!$L$9)/1000</f>
        <v>1018.913</v>
      </c>
      <c r="F395" s="49">
        <f>(SUM('[96]M13A_RESIDENTS'!$L$28:$L$30))/1000</f>
        <v>901.438</v>
      </c>
      <c r="G395" s="49">
        <f t="shared" si="31"/>
        <v>23174.191999999995</v>
      </c>
      <c r="H395" s="13">
        <f>('[96]M13A_RESIDENTS'!$L$25)/1000</f>
        <v>6.507</v>
      </c>
      <c r="I395" s="13">
        <f>('[96]M13A_RESIDENTS'!$L$21)/1000</f>
        <v>9693.144</v>
      </c>
      <c r="J395" s="13">
        <f>('[96]M13A_RESIDENTS'!$L$24)/1000</f>
        <v>748.094</v>
      </c>
      <c r="K395" s="13">
        <f>('[96]M13A_RESIDENTS'!$L$26)/1000</f>
        <v>382.935</v>
      </c>
      <c r="L395" s="13">
        <f>('[96]M13A_RESIDENTS'!$L$22)/1000</f>
        <v>471.95</v>
      </c>
      <c r="M395" s="13">
        <f>('[96]M13A_RESIDENTS'!$L$23)/1000</f>
        <v>4037.712</v>
      </c>
      <c r="N395" s="13">
        <f>('[96]M13A_RESIDENTS'!$L$19)/1000</f>
        <v>845.616</v>
      </c>
      <c r="O395" s="13">
        <f>('[96]M13A_RESIDENTS'!$L$20)/1000</f>
        <v>1487.263</v>
      </c>
      <c r="P395" s="13">
        <f>('[96]M13A_RESIDENTS'!$L$27)/1000</f>
        <v>5500.971</v>
      </c>
      <c r="Q395" s="49">
        <f t="shared" si="32"/>
        <v>29708.801</v>
      </c>
      <c r="R395" s="13">
        <f>('[96]M13A_RESIDENTS'!$L$32)/1000</f>
        <v>25523.71</v>
      </c>
      <c r="S395" s="13">
        <f>('[96]M13A_RESIDENTS'!$L$31)/1000</f>
        <v>2319.532</v>
      </c>
      <c r="T395" s="13">
        <f>('[96]M13A_RESIDENTS'!$L$33)/1000</f>
        <v>1865.559</v>
      </c>
      <c r="U395" s="49">
        <f>('[96]M13A_RESIDENTS'!$L$8)/1000</f>
        <v>8330.608</v>
      </c>
      <c r="V395" s="49">
        <f t="shared" si="33"/>
        <v>10270.88</v>
      </c>
      <c r="W395" s="13">
        <f>('[96]M13A_RESIDENTS'!$L$36)/1000</f>
        <v>7903.472</v>
      </c>
      <c r="X395" s="13">
        <f>('[96]M13A_RESIDENTS'!$L$35)/1000</f>
        <v>234.286</v>
      </c>
      <c r="Y395" s="13">
        <f>('[96]M13A_RESIDENTS'!$L$34)/1000</f>
        <v>2133.122</v>
      </c>
      <c r="Z395" s="49">
        <f>('[96]M13A_RESIDENTS'!$L$37)/1000</f>
        <v>26603.555</v>
      </c>
      <c r="AA395" s="49">
        <f t="shared" si="34"/>
        <v>23580.514999999996</v>
      </c>
      <c r="AB395" s="13">
        <f>('[96]M13A_RESIDENTS'!$L$4)/1000</f>
        <v>2331.437</v>
      </c>
      <c r="AC395" s="13">
        <f>('[96]M13A_RESIDENTS'!$L$5)/1000</f>
        <v>0</v>
      </c>
      <c r="AD395" s="13">
        <f>('[96]M13A_RESIDENTS'!$L$7)/1000</f>
        <v>20930.833</v>
      </c>
      <c r="AE395" s="13">
        <f>('[96]M13A_RESIDENTS'!$L$6)/1000</f>
        <v>318.245</v>
      </c>
      <c r="AF395" s="49">
        <f>('[96]M13A_RESIDENTS'!$L$38)/1000</f>
        <v>59932.412</v>
      </c>
      <c r="AG395" s="49">
        <f>('[96]M13A_RESIDENTS'!$L$45)/1000</f>
        <v>0</v>
      </c>
      <c r="AH395" s="49">
        <f>('[96]M13A_RESIDENTS'!$L$46)/1000</f>
        <v>50057.704</v>
      </c>
      <c r="AI395" s="49">
        <f>('[96]M13A_RESIDENTS'!$L$39)/1000</f>
        <v>2453.746</v>
      </c>
      <c r="AJ395" s="49">
        <f>(SUM('[96]M13A_RESIDENTS'!$L$40:$L$43))/1000</f>
        <v>39566.256</v>
      </c>
      <c r="AK395" s="49">
        <f>('[96]M13A_RESIDENTS'!$L$44)/1000</f>
        <v>311013.296</v>
      </c>
      <c r="AL395" s="49">
        <f>('[96]SUMMARY'!$C$23)/1000</f>
        <v>26137.317</v>
      </c>
      <c r="AM395" s="14">
        <f t="shared" si="35"/>
        <v>621158.2150000001</v>
      </c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8"/>
      <c r="ED395" s="18"/>
      <c r="EE395" s="18"/>
      <c r="EF395" s="18"/>
      <c r="EG395" s="18"/>
      <c r="EH395" s="18"/>
      <c r="EI395" s="18"/>
      <c r="EJ395" s="18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</row>
    <row r="396" spans="1:159" s="19" customFormat="1" ht="15">
      <c r="A396" s="22">
        <v>43190</v>
      </c>
      <c r="B396" s="49">
        <f t="shared" si="30"/>
        <v>12194.435000000001</v>
      </c>
      <c r="C396" s="13">
        <f>(SUM('[97]M13A_RESIDENTS'!$L$12:$L$18))/1000</f>
        <v>8887.673</v>
      </c>
      <c r="D396" s="13">
        <f>(SUM('[97]M13A_RESIDENTS'!$L$10:$L$11))/1000</f>
        <v>1996.271</v>
      </c>
      <c r="E396" s="13">
        <f>('[97]M13A_RESIDENTS'!$L$9)/1000</f>
        <v>1310.491</v>
      </c>
      <c r="F396" s="49">
        <f>(SUM('[97]M13A_RESIDENTS'!$L$28:$L$30))/1000</f>
        <v>907.081</v>
      </c>
      <c r="G396" s="49">
        <f t="shared" si="31"/>
        <v>23483.953</v>
      </c>
      <c r="H396" s="13">
        <f>('[97]M13A_RESIDENTS'!$L$25)/1000</f>
        <v>7.114</v>
      </c>
      <c r="I396" s="13">
        <f>('[97]M13A_RESIDENTS'!$L$21)/1000</f>
        <v>10079.193</v>
      </c>
      <c r="J396" s="13">
        <f>('[97]M13A_RESIDENTS'!$L$24)/1000</f>
        <v>755.335</v>
      </c>
      <c r="K396" s="13">
        <f>('[97]M13A_RESIDENTS'!$L$26)/1000</f>
        <v>392.306</v>
      </c>
      <c r="L396" s="13">
        <f>('[97]M13A_RESIDENTS'!$L$22)/1000</f>
        <v>491.305</v>
      </c>
      <c r="M396" s="13">
        <f>('[97]M13A_RESIDENTS'!$L$23)/1000</f>
        <v>3971.317</v>
      </c>
      <c r="N396" s="13">
        <f>('[97]M13A_RESIDENTS'!$L$19)/1000</f>
        <v>916.722</v>
      </c>
      <c r="O396" s="13">
        <f>('[97]M13A_RESIDENTS'!$L$20)/1000</f>
        <v>1465.584</v>
      </c>
      <c r="P396" s="13">
        <f>('[97]M13A_RESIDENTS'!$L$27)/1000</f>
        <v>5405.077</v>
      </c>
      <c r="Q396" s="49">
        <f t="shared" si="32"/>
        <v>30166.835000000003</v>
      </c>
      <c r="R396" s="13">
        <f>('[97]M13A_RESIDENTS'!$L$32)/1000</f>
        <v>26186.24</v>
      </c>
      <c r="S396" s="13">
        <f>('[97]M13A_RESIDENTS'!$L$31)/1000</f>
        <v>2123.684</v>
      </c>
      <c r="T396" s="13">
        <f>('[97]M13A_RESIDENTS'!$L$33)/1000</f>
        <v>1856.911</v>
      </c>
      <c r="U396" s="49">
        <f>('[97]M13A_RESIDENTS'!$L$8)/1000</f>
        <v>7986.393</v>
      </c>
      <c r="V396" s="49">
        <f t="shared" si="33"/>
        <v>10563.356</v>
      </c>
      <c r="W396" s="13">
        <f>('[97]M13A_RESIDENTS'!$L$36)/1000</f>
        <v>8002.363</v>
      </c>
      <c r="X396" s="13">
        <f>('[97]M13A_RESIDENTS'!$L$35)/1000</f>
        <v>419.091</v>
      </c>
      <c r="Y396" s="13">
        <f>('[97]M13A_RESIDENTS'!$L$34)/1000</f>
        <v>2141.902</v>
      </c>
      <c r="Z396" s="49">
        <f>('[97]M13A_RESIDENTS'!$L$37)/1000</f>
        <v>27255.592</v>
      </c>
      <c r="AA396" s="49">
        <f t="shared" si="34"/>
        <v>23452.661</v>
      </c>
      <c r="AB396" s="13">
        <f>('[97]M13A_RESIDENTS'!$L$4)/1000</f>
        <v>2432.672</v>
      </c>
      <c r="AC396" s="13">
        <f>('[97]M13A_RESIDENTS'!$L$5)/1000</f>
        <v>0</v>
      </c>
      <c r="AD396" s="13">
        <f>('[97]M13A_RESIDENTS'!$L$7)/1000</f>
        <v>20707.864</v>
      </c>
      <c r="AE396" s="13">
        <f>('[97]M13A_RESIDENTS'!$L$6)/1000</f>
        <v>312.125</v>
      </c>
      <c r="AF396" s="49">
        <f>('[97]M13A_RESIDENTS'!$L$38)/1000</f>
        <v>60029.429</v>
      </c>
      <c r="AG396" s="49">
        <f>('[97]M13A_RESIDENTS'!$L$45)/1000</f>
        <v>0.091</v>
      </c>
      <c r="AH396" s="49">
        <f>('[97]M13A_RESIDENTS'!$L$46)/1000</f>
        <v>54583.473</v>
      </c>
      <c r="AI396" s="49">
        <f>('[97]M13A_RESIDENTS'!$L$39)/1000</f>
        <v>2554.403</v>
      </c>
      <c r="AJ396" s="49">
        <f>(SUM('[97]M13A_RESIDENTS'!$L$40:$L$43))/1000</f>
        <v>39975.331</v>
      </c>
      <c r="AK396" s="49">
        <f>('[97]M13A_RESIDENTS'!$L$44)/1000</f>
        <v>314362.57</v>
      </c>
      <c r="AL396" s="49">
        <f>('[97]SUMMARY'!$C$23)/1000</f>
        <v>27055.996</v>
      </c>
      <c r="AM396" s="14">
        <f t="shared" si="35"/>
        <v>634571.599</v>
      </c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8"/>
      <c r="ED396" s="18"/>
      <c r="EE396" s="18"/>
      <c r="EF396" s="18"/>
      <c r="EG396" s="18"/>
      <c r="EH396" s="18"/>
      <c r="EI396" s="18"/>
      <c r="EJ396" s="18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</row>
    <row r="397" spans="1:159" s="19" customFormat="1" ht="15">
      <c r="A397" s="22">
        <v>43220</v>
      </c>
      <c r="B397" s="49">
        <f aca="true" t="shared" si="36" ref="B397:B418">SUM(C397:E397)</f>
        <v>12579.363</v>
      </c>
      <c r="C397" s="13">
        <f>(SUM('[98]M13A_RESIDENTS'!$L$12:$L$18))/1000</f>
        <v>8859.125</v>
      </c>
      <c r="D397" s="13">
        <f>(SUM('[98]M13A_RESIDENTS'!$L$10:$L$11))/1000</f>
        <v>1993.553</v>
      </c>
      <c r="E397" s="13">
        <f>('[98]M13A_RESIDENTS'!$L$9)/1000</f>
        <v>1726.685</v>
      </c>
      <c r="F397" s="49">
        <f>(SUM('[98]M13A_RESIDENTS'!$L$28:$L$30))/1000</f>
        <v>972.728</v>
      </c>
      <c r="G397" s="49">
        <f aca="true" t="shared" si="37" ref="G397:G418">SUM(H397:P397)</f>
        <v>25652.257</v>
      </c>
      <c r="H397" s="13">
        <f>('[98]M13A_RESIDENTS'!$L$25)/1000</f>
        <v>4.236</v>
      </c>
      <c r="I397" s="13">
        <f>('[98]M13A_RESIDENTS'!$L$21)/1000</f>
        <v>10082.407</v>
      </c>
      <c r="J397" s="13">
        <f>('[98]M13A_RESIDENTS'!$L$24)/1000</f>
        <v>735.675</v>
      </c>
      <c r="K397" s="13">
        <f>('[98]M13A_RESIDENTS'!$L$26)/1000</f>
        <v>392.64</v>
      </c>
      <c r="L397" s="13">
        <f>('[98]M13A_RESIDENTS'!$L$22)/1000</f>
        <v>481.004</v>
      </c>
      <c r="M397" s="13">
        <f>('[98]M13A_RESIDENTS'!$L$23)/1000</f>
        <v>3951.032</v>
      </c>
      <c r="N397" s="13">
        <f>('[98]M13A_RESIDENTS'!$L$19)/1000</f>
        <v>1003.758</v>
      </c>
      <c r="O397" s="13">
        <f>('[98]M13A_RESIDENTS'!$L$20)/1000</f>
        <v>1442.252</v>
      </c>
      <c r="P397" s="13">
        <f>('[98]M13A_RESIDENTS'!$L$27)/1000</f>
        <v>7559.253</v>
      </c>
      <c r="Q397" s="49">
        <f aca="true" t="shared" si="38" ref="Q397:Q418">SUM(R397:T397)</f>
        <v>28543.973</v>
      </c>
      <c r="R397" s="13">
        <f>('[98]M13A_RESIDENTS'!$L$32)/1000</f>
        <v>24637.02</v>
      </c>
      <c r="S397" s="13">
        <f>('[98]M13A_RESIDENTS'!$L$31)/1000</f>
        <v>1996.875</v>
      </c>
      <c r="T397" s="13">
        <f>('[98]M13A_RESIDENTS'!$L$33)/1000</f>
        <v>1910.078</v>
      </c>
      <c r="U397" s="49">
        <f>('[98]M13A_RESIDENTS'!$L$8)/1000</f>
        <v>8118.17</v>
      </c>
      <c r="V397" s="49">
        <f aca="true" t="shared" si="39" ref="V397:V418">SUM(W397:Y397)</f>
        <v>11531.133000000002</v>
      </c>
      <c r="W397" s="13">
        <f>('[98]M13A_RESIDENTS'!$L$36)/1000</f>
        <v>9208.768</v>
      </c>
      <c r="X397" s="13">
        <f>('[98]M13A_RESIDENTS'!$L$35)/1000</f>
        <v>285.36</v>
      </c>
      <c r="Y397" s="13">
        <f>('[98]M13A_RESIDENTS'!$L$34)/1000</f>
        <v>2037.005</v>
      </c>
      <c r="Z397" s="49">
        <f>('[98]M13A_RESIDENTS'!$L$37)/1000</f>
        <v>26353.463</v>
      </c>
      <c r="AA397" s="49">
        <f aca="true" t="shared" si="40" ref="AA397:AA418">SUM(AB397:AE397)</f>
        <v>21684.172000000002</v>
      </c>
      <c r="AB397" s="13">
        <f>('[98]M13A_RESIDENTS'!$L$4)/1000</f>
        <v>2390.229</v>
      </c>
      <c r="AC397" s="13">
        <f>('[98]M13A_RESIDENTS'!$L$5)/1000</f>
        <v>0</v>
      </c>
      <c r="AD397" s="13">
        <f>('[98]M13A_RESIDENTS'!$L$7)/1000</f>
        <v>19037.401</v>
      </c>
      <c r="AE397" s="13">
        <f>('[98]M13A_RESIDENTS'!$L$6)/1000</f>
        <v>256.542</v>
      </c>
      <c r="AF397" s="49">
        <f>('[98]M13A_RESIDENTS'!$L$38)/1000</f>
        <v>59661.231</v>
      </c>
      <c r="AG397" s="49">
        <f>('[98]M13A_RESIDENTS'!$L$45)/1000</f>
        <v>6.254</v>
      </c>
      <c r="AH397" s="49">
        <f>('[98]M13A_RESIDENTS'!$L$46)/1000</f>
        <v>52953.743</v>
      </c>
      <c r="AI397" s="49">
        <f>('[98]M13A_RESIDENTS'!$L$39)/1000</f>
        <v>2528.997</v>
      </c>
      <c r="AJ397" s="49">
        <f>(SUM('[98]M13A_RESIDENTS'!$L$40:$L$43))/1000</f>
        <v>39752.89</v>
      </c>
      <c r="AK397" s="49">
        <f>('[98]M13A_RESIDENTS'!$L$44)/1000</f>
        <v>316804.891</v>
      </c>
      <c r="AL397" s="49">
        <f>('[98]SUMMARY'!$C$23)/1000</f>
        <v>33674.362</v>
      </c>
      <c r="AM397" s="14">
        <f aca="true" t="shared" si="41" ref="AM397:AM418">+B397+F397+G397+Q397+U397+V397+Z397+AA397+AF397+AH397+AI397+AJ397+AK397+AL397+AG397</f>
        <v>640817.6269999999</v>
      </c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8"/>
      <c r="ED397" s="18"/>
      <c r="EE397" s="18"/>
      <c r="EF397" s="18"/>
      <c r="EG397" s="18"/>
      <c r="EH397" s="18"/>
      <c r="EI397" s="18"/>
      <c r="EJ397" s="18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</row>
    <row r="398" spans="1:159" s="19" customFormat="1" ht="15">
      <c r="A398" s="22">
        <v>43251</v>
      </c>
      <c r="B398" s="49">
        <f t="shared" si="36"/>
        <v>13060.339999999998</v>
      </c>
      <c r="C398" s="13">
        <f>(SUM('[99]M13A_RESIDENTS'!$L$12:$L$18))/1000</f>
        <v>8883.436</v>
      </c>
      <c r="D398" s="13">
        <f>(SUM('[99]M13A_RESIDENTS'!$L$10:$L$11))/1000</f>
        <v>1999.184</v>
      </c>
      <c r="E398" s="13">
        <f>('[99]M13A_RESIDENTS'!$L$9)/1000</f>
        <v>2177.72</v>
      </c>
      <c r="F398" s="49">
        <f>(SUM('[99]M13A_RESIDENTS'!$L$28:$L$30))/1000</f>
        <v>1274.604</v>
      </c>
      <c r="G398" s="49">
        <f t="shared" si="37"/>
        <v>26306.413</v>
      </c>
      <c r="H398" s="13">
        <f>('[99]M13A_RESIDENTS'!$L$25)/1000</f>
        <v>5.29</v>
      </c>
      <c r="I398" s="13">
        <f>('[99]M13A_RESIDENTS'!$L$21)/1000</f>
        <v>10420.431</v>
      </c>
      <c r="J398" s="13">
        <f>('[99]M13A_RESIDENTS'!$L$24)/1000</f>
        <v>767.162</v>
      </c>
      <c r="K398" s="13">
        <f>('[99]M13A_RESIDENTS'!$L$26)/1000</f>
        <v>392.438</v>
      </c>
      <c r="L398" s="13">
        <f>('[99]M13A_RESIDENTS'!$L$22)/1000</f>
        <v>482.06</v>
      </c>
      <c r="M398" s="13">
        <f>('[99]M13A_RESIDENTS'!$L$23)/1000</f>
        <v>221.051</v>
      </c>
      <c r="N398" s="13">
        <f>('[99]M13A_RESIDENTS'!$L$19)/1000</f>
        <v>978.915</v>
      </c>
      <c r="O398" s="13">
        <f>('[99]M13A_RESIDENTS'!$L$20)/1000</f>
        <v>1619.844</v>
      </c>
      <c r="P398" s="13">
        <f>('[99]M13A_RESIDENTS'!$L$27)/1000</f>
        <v>11419.222</v>
      </c>
      <c r="Q398" s="49">
        <f t="shared" si="38"/>
        <v>29348.095</v>
      </c>
      <c r="R398" s="13">
        <f>('[99]M13A_RESIDENTS'!$L$32)/1000</f>
        <v>25566.339</v>
      </c>
      <c r="S398" s="13">
        <f>('[99]M13A_RESIDENTS'!$L$31)/1000</f>
        <v>1896.651</v>
      </c>
      <c r="T398" s="13">
        <f>('[99]M13A_RESIDENTS'!$L$33)/1000</f>
        <v>1885.105</v>
      </c>
      <c r="U398" s="49">
        <f>('[99]M13A_RESIDENTS'!$L$8)/1000</f>
        <v>8239.933</v>
      </c>
      <c r="V398" s="49">
        <f t="shared" si="39"/>
        <v>11757.374</v>
      </c>
      <c r="W398" s="13">
        <f>('[99]M13A_RESIDENTS'!$L$36)/1000</f>
        <v>9300.89</v>
      </c>
      <c r="X398" s="13">
        <f>('[99]M13A_RESIDENTS'!$L$35)/1000</f>
        <v>301.382</v>
      </c>
      <c r="Y398" s="13">
        <f>('[99]M13A_RESIDENTS'!$L$34)/1000</f>
        <v>2155.102</v>
      </c>
      <c r="Z398" s="49">
        <f>('[99]M13A_RESIDENTS'!$L$37)/1000</f>
        <v>27085.564</v>
      </c>
      <c r="AA398" s="49">
        <f t="shared" si="40"/>
        <v>23184.838</v>
      </c>
      <c r="AB398" s="13">
        <f>('[99]M13A_RESIDENTS'!$L$4)/1000</f>
        <v>2234.75</v>
      </c>
      <c r="AC398" s="13">
        <f>('[99]M13A_RESIDENTS'!$L$5)/1000</f>
        <v>0.009</v>
      </c>
      <c r="AD398" s="13">
        <f>('[99]M13A_RESIDENTS'!$L$7)/1000</f>
        <v>20347.309</v>
      </c>
      <c r="AE398" s="13">
        <f>('[99]M13A_RESIDENTS'!$L$6)/1000</f>
        <v>602.77</v>
      </c>
      <c r="AF398" s="49">
        <f>('[99]M13A_RESIDENTS'!$L$38)/1000</f>
        <v>59585.598</v>
      </c>
      <c r="AG398" s="49">
        <f>('[99]M13A_RESIDENTS'!$L$45)/1000</f>
        <v>10.254</v>
      </c>
      <c r="AH398" s="49">
        <f>('[99]M13A_RESIDENTS'!$L$46)/1000</f>
        <v>54312.242</v>
      </c>
      <c r="AI398" s="49">
        <f>('[99]M13A_RESIDENTS'!$L$39)/1000</f>
        <v>2548.388</v>
      </c>
      <c r="AJ398" s="49">
        <f>(SUM('[99]M13A_RESIDENTS'!$L$40:$L$43))/1000</f>
        <v>40381.348</v>
      </c>
      <c r="AK398" s="49">
        <f>('[99]M13A_RESIDENTS'!$L$44)/1000</f>
        <v>321737</v>
      </c>
      <c r="AL398" s="49">
        <f>('[99]SUMMARY'!$C$23)/1000</f>
        <v>34650.892</v>
      </c>
      <c r="AM398" s="14">
        <f t="shared" si="41"/>
        <v>653482.8829999999</v>
      </c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8"/>
      <c r="ED398" s="18"/>
      <c r="EE398" s="18"/>
      <c r="EF398" s="18"/>
      <c r="EG398" s="18"/>
      <c r="EH398" s="18"/>
      <c r="EI398" s="18"/>
      <c r="EJ398" s="18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</row>
    <row r="399" spans="1:159" s="19" customFormat="1" ht="15">
      <c r="A399" s="22">
        <v>43281</v>
      </c>
      <c r="B399" s="49">
        <f t="shared" si="36"/>
        <v>12977.913</v>
      </c>
      <c r="C399" s="13">
        <f>(SUM('[100]M13A_RESIDENTS'!$L$12:$L$18))/1000</f>
        <v>8926.484</v>
      </c>
      <c r="D399" s="13">
        <f>(SUM('[100]M13A_RESIDENTS'!$L$10:$L$11))/1000</f>
        <v>2008.721</v>
      </c>
      <c r="E399" s="13">
        <f>('[100]M13A_RESIDENTS'!$L$9)/1000</f>
        <v>2042.708</v>
      </c>
      <c r="F399" s="49">
        <f>(SUM('[100]M13A_RESIDENTS'!$L$28:$L$30))/1000</f>
        <v>1271.807</v>
      </c>
      <c r="G399" s="49">
        <f t="shared" si="37"/>
        <v>26698.449</v>
      </c>
      <c r="H399" s="13">
        <f>('[100]M13A_RESIDENTS'!$L$25)/1000</f>
        <v>4.897</v>
      </c>
      <c r="I399" s="13">
        <f>('[100]M13A_RESIDENTS'!$L$21)/1000</f>
        <v>10491.158</v>
      </c>
      <c r="J399" s="13">
        <f>('[100]M13A_RESIDENTS'!$L$24)/1000</f>
        <v>839.16</v>
      </c>
      <c r="K399" s="13">
        <f>('[100]M13A_RESIDENTS'!$L$26)/1000</f>
        <v>397.68</v>
      </c>
      <c r="L399" s="13">
        <f>('[100]M13A_RESIDENTS'!$L$22)/1000</f>
        <v>464.832</v>
      </c>
      <c r="M399" s="13">
        <f>('[100]M13A_RESIDENTS'!$L$23)/1000</f>
        <v>218.057</v>
      </c>
      <c r="N399" s="13">
        <f>('[100]M13A_RESIDENTS'!$L$19)/1000</f>
        <v>984.286</v>
      </c>
      <c r="O399" s="13">
        <f>('[100]M13A_RESIDENTS'!$L$20)/1000</f>
        <v>1656.843</v>
      </c>
      <c r="P399" s="13">
        <f>('[100]M13A_RESIDENTS'!$L$27)/1000</f>
        <v>11641.536</v>
      </c>
      <c r="Q399" s="49">
        <f t="shared" si="38"/>
        <v>31353.072</v>
      </c>
      <c r="R399" s="13">
        <f>('[100]M13A_RESIDENTS'!$L$32)/1000</f>
        <v>27713.93</v>
      </c>
      <c r="S399" s="13">
        <f>('[100]M13A_RESIDENTS'!$L$31)/1000</f>
        <v>1762.792</v>
      </c>
      <c r="T399" s="13">
        <f>('[100]M13A_RESIDENTS'!$L$33)/1000</f>
        <v>1876.35</v>
      </c>
      <c r="U399" s="49">
        <f>('[100]M13A_RESIDENTS'!$L$8)/1000</f>
        <v>8429.719</v>
      </c>
      <c r="V399" s="49">
        <f t="shared" si="39"/>
        <v>11833.525</v>
      </c>
      <c r="W399" s="13">
        <f>('[100]M13A_RESIDENTS'!$L$36)/1000</f>
        <v>9216.902</v>
      </c>
      <c r="X399" s="13">
        <f>('[100]M13A_RESIDENTS'!$L$35)/1000</f>
        <v>353.221</v>
      </c>
      <c r="Y399" s="13">
        <f>('[100]M13A_RESIDENTS'!$L$34)/1000</f>
        <v>2263.402</v>
      </c>
      <c r="Z399" s="49">
        <f>('[100]M13A_RESIDENTS'!$L$37)/1000</f>
        <v>28630.51</v>
      </c>
      <c r="AA399" s="49">
        <f t="shared" si="40"/>
        <v>23526.471999999998</v>
      </c>
      <c r="AB399" s="13">
        <f>('[100]M13A_RESIDENTS'!$L$4)/1000</f>
        <v>2743.901</v>
      </c>
      <c r="AC399" s="13">
        <f>('[100]M13A_RESIDENTS'!$L$5)/1000</f>
        <v>0.013</v>
      </c>
      <c r="AD399" s="13">
        <f>('[100]M13A_RESIDENTS'!$L$7)/1000</f>
        <v>20170.458</v>
      </c>
      <c r="AE399" s="13">
        <f>('[100]M13A_RESIDENTS'!$L$6)/1000</f>
        <v>612.1</v>
      </c>
      <c r="AF399" s="49">
        <f>('[100]M13A_RESIDENTS'!$L$38)/1000</f>
        <v>60907.14</v>
      </c>
      <c r="AG399" s="49">
        <f>('[100]M13A_RESIDENTS'!$L$45)/1000</f>
        <v>10.192</v>
      </c>
      <c r="AH399" s="49">
        <f>('[100]M13A_RESIDENTS'!$L$46)/1000</f>
        <v>55085.783</v>
      </c>
      <c r="AI399" s="49">
        <f>('[100]M13A_RESIDENTS'!$L$39)/1000</f>
        <v>2576.699</v>
      </c>
      <c r="AJ399" s="49">
        <f>(SUM('[100]M13A_RESIDENTS'!$L$40:$L$43))/1000</f>
        <v>40781.167</v>
      </c>
      <c r="AK399" s="49">
        <f>('[100]M13A_RESIDENTS'!$L$44)/1000</f>
        <v>325684.8</v>
      </c>
      <c r="AL399" s="49">
        <f>('[100]SUMMARY'!$C$23)/1000</f>
        <v>36883.464</v>
      </c>
      <c r="AM399" s="14">
        <f t="shared" si="41"/>
        <v>666650.7120000002</v>
      </c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8"/>
      <c r="ED399" s="18"/>
      <c r="EE399" s="18"/>
      <c r="EF399" s="18"/>
      <c r="EG399" s="18"/>
      <c r="EH399" s="18"/>
      <c r="EI399" s="18"/>
      <c r="EJ399" s="18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</row>
    <row r="400" spans="1:159" s="19" customFormat="1" ht="15">
      <c r="A400" s="22">
        <v>43312</v>
      </c>
      <c r="B400" s="49">
        <f t="shared" si="36"/>
        <v>12829.731999999998</v>
      </c>
      <c r="C400" s="13">
        <f>(SUM('[101]M13A_RESIDENTS'!$L$12:$L$18))/1000</f>
        <v>8765.416</v>
      </c>
      <c r="D400" s="13">
        <f>(SUM('[101]M13A_RESIDENTS'!$L$10:$L$11))/1000</f>
        <v>2021.862</v>
      </c>
      <c r="E400" s="13">
        <f>('[101]M13A_RESIDENTS'!$L$9)/1000</f>
        <v>2042.454</v>
      </c>
      <c r="F400" s="49">
        <f>(SUM('[101]M13A_RESIDENTS'!$L$28:$L$30))/1000</f>
        <v>1395.767</v>
      </c>
      <c r="G400" s="49">
        <f t="shared" si="37"/>
        <v>27193.012000000002</v>
      </c>
      <c r="H400" s="13">
        <f>('[101]M13A_RESIDENTS'!$L$25)/1000</f>
        <v>2.285</v>
      </c>
      <c r="I400" s="13">
        <f>('[101]M13A_RESIDENTS'!$L$21)/1000</f>
        <v>10515.515</v>
      </c>
      <c r="J400" s="13">
        <f>('[101]M13A_RESIDENTS'!$L$24)/1000</f>
        <v>836.564</v>
      </c>
      <c r="K400" s="13">
        <f>('[101]M13A_RESIDENTS'!$L$26)/1000</f>
        <v>423.729</v>
      </c>
      <c r="L400" s="13">
        <f>('[101]M13A_RESIDENTS'!$L$22)/1000</f>
        <v>455.165</v>
      </c>
      <c r="M400" s="13">
        <f>('[101]M13A_RESIDENTS'!$L$23)/1000</f>
        <v>3928.926</v>
      </c>
      <c r="N400" s="13">
        <f>('[101]M13A_RESIDENTS'!$L$19)/1000</f>
        <v>1055.169</v>
      </c>
      <c r="O400" s="13">
        <f>('[101]M13A_RESIDENTS'!$L$20)/1000</f>
        <v>1619.648</v>
      </c>
      <c r="P400" s="13">
        <f>('[101]M13A_RESIDENTS'!$L$27)/1000</f>
        <v>8356.011</v>
      </c>
      <c r="Q400" s="49">
        <f t="shared" si="38"/>
        <v>32484.11</v>
      </c>
      <c r="R400" s="13">
        <f>('[101]M13A_RESIDENTS'!$L$32)/1000</f>
        <v>28879.755</v>
      </c>
      <c r="S400" s="13">
        <f>('[101]M13A_RESIDENTS'!$L$31)/1000</f>
        <v>1727.64</v>
      </c>
      <c r="T400" s="13">
        <f>('[101]M13A_RESIDENTS'!$L$33)/1000</f>
        <v>1876.715</v>
      </c>
      <c r="U400" s="49">
        <f>('[101]M13A_RESIDENTS'!$L$8)/1000</f>
        <v>7161.358</v>
      </c>
      <c r="V400" s="49">
        <f t="shared" si="39"/>
        <v>13181.419000000002</v>
      </c>
      <c r="W400" s="13">
        <f>('[101]M13A_RESIDENTS'!$L$36)/1000</f>
        <v>10562.414</v>
      </c>
      <c r="X400" s="13">
        <f>('[101]M13A_RESIDENTS'!$L$35)/1000</f>
        <v>383.527</v>
      </c>
      <c r="Y400" s="13">
        <f>('[101]M13A_RESIDENTS'!$L$34)/1000</f>
        <v>2235.478</v>
      </c>
      <c r="Z400" s="49">
        <f>('[101]M13A_RESIDENTS'!$L$37)/1000</f>
        <v>30472.416</v>
      </c>
      <c r="AA400" s="49">
        <f t="shared" si="40"/>
        <v>23020.506</v>
      </c>
      <c r="AB400" s="13">
        <f>('[101]M13A_RESIDENTS'!$L$4)/1000</f>
        <v>2911.684</v>
      </c>
      <c r="AC400" s="13">
        <f>('[101]M13A_RESIDENTS'!$L$5)/1000</f>
        <v>0.019</v>
      </c>
      <c r="AD400" s="13">
        <f>('[101]M13A_RESIDENTS'!$L$7)/1000</f>
        <v>19465.338</v>
      </c>
      <c r="AE400" s="13">
        <f>('[101]M13A_RESIDENTS'!$L$6)/1000</f>
        <v>643.465</v>
      </c>
      <c r="AF400" s="49">
        <f>('[101]M13A_RESIDENTS'!$L$38)/1000</f>
        <v>60850.559</v>
      </c>
      <c r="AG400" s="49">
        <f>('[101]M13A_RESIDENTS'!$L$45)/1000</f>
        <v>12.996</v>
      </c>
      <c r="AH400" s="49">
        <f>('[101]M13A_RESIDENTS'!$L$46)/1000</f>
        <v>57015.93</v>
      </c>
      <c r="AI400" s="49">
        <f>('[101]M13A_RESIDENTS'!$L$39)/1000</f>
        <v>2577.579</v>
      </c>
      <c r="AJ400" s="49">
        <f>(SUM('[101]M13A_RESIDENTS'!$L$40:$L$43))/1000</f>
        <v>40724.564</v>
      </c>
      <c r="AK400" s="49">
        <f>('[101]M13A_RESIDENTS'!$L$44)/1000</f>
        <v>329291.495</v>
      </c>
      <c r="AL400" s="49">
        <f>('[101]SUMMARY'!$C$23)/1000</f>
        <v>37219.692</v>
      </c>
      <c r="AM400" s="14">
        <f t="shared" si="41"/>
        <v>675431.1350000001</v>
      </c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8"/>
      <c r="ED400" s="18"/>
      <c r="EE400" s="18"/>
      <c r="EF400" s="18"/>
      <c r="EG400" s="18"/>
      <c r="EH400" s="18"/>
      <c r="EI400" s="18"/>
      <c r="EJ400" s="18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</row>
    <row r="401" spans="1:159" s="19" customFormat="1" ht="15">
      <c r="A401" s="22">
        <v>43343</v>
      </c>
      <c r="B401" s="49">
        <f t="shared" si="36"/>
        <v>12534.953</v>
      </c>
      <c r="C401" s="13">
        <f>(SUM('[102]M13A_RESIDENTS'!$L$12:$L$18))/1000</f>
        <v>8709.58</v>
      </c>
      <c r="D401" s="13">
        <f>(SUM('[102]M13A_RESIDENTS'!$L$10:$L$11))/1000</f>
        <v>1338.337</v>
      </c>
      <c r="E401" s="13">
        <f>('[102]M13A_RESIDENTS'!$L$9)/1000</f>
        <v>2487.036</v>
      </c>
      <c r="F401" s="49">
        <f>(SUM('[102]M13A_RESIDENTS'!$L$28:$L$30))/1000</f>
        <v>1089.588</v>
      </c>
      <c r="G401" s="49">
        <f t="shared" si="37"/>
        <v>27562.190000000002</v>
      </c>
      <c r="H401" s="13">
        <f>('[102]M13A_RESIDENTS'!$L$25)/1000</f>
        <v>4.793</v>
      </c>
      <c r="I401" s="13">
        <f>('[102]M13A_RESIDENTS'!$L$21)/1000</f>
        <v>10285.575</v>
      </c>
      <c r="J401" s="13">
        <f>('[102]M13A_RESIDENTS'!$L$24)/1000</f>
        <v>837.47</v>
      </c>
      <c r="K401" s="13">
        <f>('[102]M13A_RESIDENTS'!$L$26)/1000</f>
        <v>422.541</v>
      </c>
      <c r="L401" s="13">
        <f>('[102]M13A_RESIDENTS'!$L$22)/1000</f>
        <v>477.431</v>
      </c>
      <c r="M401" s="13">
        <f>('[102]M13A_RESIDENTS'!$L$23)/1000</f>
        <v>3988.33</v>
      </c>
      <c r="N401" s="13">
        <f>('[102]M13A_RESIDENTS'!$L$19)/1000</f>
        <v>1113.024</v>
      </c>
      <c r="O401" s="13">
        <f>('[102]M13A_RESIDENTS'!$L$20)/1000</f>
        <v>1591.897</v>
      </c>
      <c r="P401" s="13">
        <f>('[102]M13A_RESIDENTS'!$L$27)/1000</f>
        <v>8841.129</v>
      </c>
      <c r="Q401" s="49">
        <f t="shared" si="38"/>
        <v>31567.649999999998</v>
      </c>
      <c r="R401" s="13">
        <f>('[102]M13A_RESIDENTS'!$L$32)/1000</f>
        <v>28015.272</v>
      </c>
      <c r="S401" s="13">
        <f>('[102]M13A_RESIDENTS'!$L$31)/1000</f>
        <v>1729.35</v>
      </c>
      <c r="T401" s="13">
        <f>('[102]M13A_RESIDENTS'!$L$33)/1000</f>
        <v>1823.028</v>
      </c>
      <c r="U401" s="49">
        <f>('[102]M13A_RESIDENTS'!$L$8)/1000</f>
        <v>7286.518</v>
      </c>
      <c r="V401" s="49">
        <f t="shared" si="39"/>
        <v>13320.489</v>
      </c>
      <c r="W401" s="13">
        <f>('[102]M13A_RESIDENTS'!$L$36)/1000</f>
        <v>10785.069</v>
      </c>
      <c r="X401" s="13">
        <f>('[102]M13A_RESIDENTS'!$L$35)/1000</f>
        <v>351.945</v>
      </c>
      <c r="Y401" s="13">
        <f>('[102]M13A_RESIDENTS'!$L$34)/1000</f>
        <v>2183.475</v>
      </c>
      <c r="Z401" s="49">
        <f>('[102]M13A_RESIDENTS'!$L$37)/1000</f>
        <v>30751.761</v>
      </c>
      <c r="AA401" s="49">
        <f t="shared" si="40"/>
        <v>22922.351</v>
      </c>
      <c r="AB401" s="13">
        <f>('[102]M13A_RESIDENTS'!$L$4)/1000</f>
        <v>3009.397</v>
      </c>
      <c r="AC401" s="13">
        <f>('[102]M13A_RESIDENTS'!$L$5)/1000</f>
        <v>3.058</v>
      </c>
      <c r="AD401" s="13">
        <f>('[102]M13A_RESIDENTS'!$L$7)/1000</f>
        <v>19274.518</v>
      </c>
      <c r="AE401" s="13">
        <f>('[102]M13A_RESIDENTS'!$L$6)/1000</f>
        <v>635.378</v>
      </c>
      <c r="AF401" s="49">
        <f>('[102]M13A_RESIDENTS'!$L$38)/1000</f>
        <v>61325.067</v>
      </c>
      <c r="AG401" s="49">
        <f>('[102]M13A_RESIDENTS'!$L$45)/1000</f>
        <v>22.436</v>
      </c>
      <c r="AH401" s="49">
        <f>('[102]M13A_RESIDENTS'!$L$46)/1000</f>
        <v>57873.072</v>
      </c>
      <c r="AI401" s="49">
        <f>('[102]M13A_RESIDENTS'!$L$39)/1000</f>
        <v>2560.876</v>
      </c>
      <c r="AJ401" s="49">
        <f>(SUM('[102]M13A_RESIDENTS'!$L$40:$L$43))/1000</f>
        <v>41750.162</v>
      </c>
      <c r="AK401" s="49">
        <f>('[102]M13A_RESIDENTS'!$L$44)/1000</f>
        <v>335746.315</v>
      </c>
      <c r="AL401" s="49">
        <f>('[102]SUMMARY'!$C$23)/1000</f>
        <v>37915.702</v>
      </c>
      <c r="AM401" s="14">
        <f t="shared" si="41"/>
        <v>684229.1300000001</v>
      </c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8"/>
      <c r="ED401" s="18"/>
      <c r="EE401" s="18"/>
      <c r="EF401" s="18"/>
      <c r="EG401" s="18"/>
      <c r="EH401" s="18"/>
      <c r="EI401" s="18"/>
      <c r="EJ401" s="18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</row>
    <row r="402" spans="1:159" s="19" customFormat="1" ht="15">
      <c r="A402" s="22">
        <v>43373</v>
      </c>
      <c r="B402" s="49">
        <f t="shared" si="36"/>
        <v>12742.41</v>
      </c>
      <c r="C402" s="13">
        <f>(SUM('[103]M13A_RESIDENTS'!$L$12:$L$18))/1000</f>
        <v>8566.241</v>
      </c>
      <c r="D402" s="13">
        <f>(SUM('[103]M13A_RESIDENTS'!$L$10:$L$11))/1000</f>
        <v>1359.969</v>
      </c>
      <c r="E402" s="13">
        <f>('[103]M13A_RESIDENTS'!$L$9)/1000</f>
        <v>2816.2</v>
      </c>
      <c r="F402" s="49">
        <f>(SUM('[103]M13A_RESIDENTS'!$L$28:$L$30))/1000</f>
        <v>3805.158</v>
      </c>
      <c r="G402" s="49">
        <f t="shared" si="37"/>
        <v>27520.674</v>
      </c>
      <c r="H402" s="13">
        <f>('[103]M13A_RESIDENTS'!$L$25)/1000</f>
        <v>8.602</v>
      </c>
      <c r="I402" s="13">
        <f>('[103]M13A_RESIDENTS'!$L$21)/1000</f>
        <v>10367.171</v>
      </c>
      <c r="J402" s="13">
        <f>('[103]M13A_RESIDENTS'!$L$24)/1000</f>
        <v>847.227</v>
      </c>
      <c r="K402" s="13">
        <f>('[103]M13A_RESIDENTS'!$L$26)/1000</f>
        <v>434.447</v>
      </c>
      <c r="L402" s="13">
        <f>('[103]M13A_RESIDENTS'!$L$22)/1000</f>
        <v>484.569</v>
      </c>
      <c r="M402" s="13">
        <f>('[103]M13A_RESIDENTS'!$L$23)/1000</f>
        <v>3899.793</v>
      </c>
      <c r="N402" s="13">
        <f>('[103]M13A_RESIDENTS'!$L$19)/1000</f>
        <v>1146.934</v>
      </c>
      <c r="O402" s="13">
        <f>('[103]M13A_RESIDENTS'!$L$20)/1000</f>
        <v>1626.191</v>
      </c>
      <c r="P402" s="13">
        <f>('[103]M13A_RESIDENTS'!$L$27)/1000</f>
        <v>8705.74</v>
      </c>
      <c r="Q402" s="49">
        <f t="shared" si="38"/>
        <v>34553.553</v>
      </c>
      <c r="R402" s="13">
        <f>('[103]M13A_RESIDENTS'!$L$32)/1000</f>
        <v>31073.776</v>
      </c>
      <c r="S402" s="13">
        <f>('[103]M13A_RESIDENTS'!$L$31)/1000</f>
        <v>1640.631</v>
      </c>
      <c r="T402" s="13">
        <f>('[103]M13A_RESIDENTS'!$L$33)/1000</f>
        <v>1839.146</v>
      </c>
      <c r="U402" s="49">
        <f>('[103]M13A_RESIDENTS'!$L$8)/1000</f>
        <v>7147.988</v>
      </c>
      <c r="V402" s="49">
        <f t="shared" si="39"/>
        <v>15457.990000000002</v>
      </c>
      <c r="W402" s="13">
        <f>('[103]M13A_RESIDENTS'!$L$36)/1000</f>
        <v>11076.047</v>
      </c>
      <c r="X402" s="13">
        <f>('[103]M13A_RESIDENTS'!$L$35)/1000</f>
        <v>355.501</v>
      </c>
      <c r="Y402" s="13">
        <f>('[103]M13A_RESIDENTS'!$L$34)/1000</f>
        <v>4026.442</v>
      </c>
      <c r="Z402" s="49">
        <f>('[103]M13A_RESIDENTS'!$L$37)/1000</f>
        <v>27778.408</v>
      </c>
      <c r="AA402" s="49">
        <f t="shared" si="40"/>
        <v>21846.173</v>
      </c>
      <c r="AB402" s="13">
        <f>('[103]M13A_RESIDENTS'!$L$4)/1000</f>
        <v>1053.991</v>
      </c>
      <c r="AC402" s="13">
        <f>('[103]M13A_RESIDENTS'!$L$5)/1000</f>
        <v>3.622</v>
      </c>
      <c r="AD402" s="13">
        <f>('[103]M13A_RESIDENTS'!$L$7)/1000</f>
        <v>20168.797</v>
      </c>
      <c r="AE402" s="13">
        <f>('[103]M13A_RESIDENTS'!$L$6)/1000</f>
        <v>619.763</v>
      </c>
      <c r="AF402" s="49">
        <f>('[103]M13A_RESIDENTS'!$L$38)/1000</f>
        <v>60984.664</v>
      </c>
      <c r="AG402" s="49">
        <f>('[103]M13A_RESIDENTS'!$L$45)/1000</f>
        <v>20.953</v>
      </c>
      <c r="AH402" s="49">
        <f>('[103]M13A_RESIDENTS'!$L$46)/1000</f>
        <v>56742.686</v>
      </c>
      <c r="AI402" s="49">
        <f>('[103]M13A_RESIDENTS'!$L$39)/1000</f>
        <v>2516.101</v>
      </c>
      <c r="AJ402" s="49">
        <f>(SUM('[103]M13A_RESIDENTS'!$L$40:$L$43))/1000</f>
        <v>42888.413</v>
      </c>
      <c r="AK402" s="49">
        <f>('[103]M13A_RESIDENTS'!$L$44)/1000</f>
        <v>339988.888</v>
      </c>
      <c r="AL402" s="49">
        <f>('[103]SUMMARY'!$C$23)/1000</f>
        <v>39611.979</v>
      </c>
      <c r="AM402" s="14">
        <f t="shared" si="41"/>
        <v>693606.038</v>
      </c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8"/>
      <c r="ED402" s="18"/>
      <c r="EE402" s="18"/>
      <c r="EF402" s="18"/>
      <c r="EG402" s="18"/>
      <c r="EH402" s="18"/>
      <c r="EI402" s="18"/>
      <c r="EJ402" s="18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</row>
    <row r="403" spans="1:159" s="19" customFormat="1" ht="15">
      <c r="A403" s="22">
        <v>43404</v>
      </c>
      <c r="B403" s="49">
        <f t="shared" si="36"/>
        <v>12960.145999999999</v>
      </c>
      <c r="C403" s="13">
        <f>(SUM('[104]M13A_RESIDENTS'!$L$12:$L$18))/1000</f>
        <v>8530.326</v>
      </c>
      <c r="D403" s="13">
        <f>(SUM('[104]M13A_RESIDENTS'!$L$10:$L$11))/1000</f>
        <v>1353.915</v>
      </c>
      <c r="E403" s="13">
        <f>('[104]M13A_RESIDENTS'!$L$9)/1000</f>
        <v>3075.905</v>
      </c>
      <c r="F403" s="49">
        <f>(SUM('[104]M13A_RESIDENTS'!$L$28:$L$30))/1000</f>
        <v>3708.9</v>
      </c>
      <c r="G403" s="49">
        <f t="shared" si="37"/>
        <v>26991.046</v>
      </c>
      <c r="H403" s="13">
        <f>('[104]M13A_RESIDENTS'!$L$25)/1000</f>
        <v>8.43</v>
      </c>
      <c r="I403" s="13">
        <f>('[104]M13A_RESIDENTS'!$L$21)/1000</f>
        <v>10527.797</v>
      </c>
      <c r="J403" s="13">
        <f>('[104]M13A_RESIDENTS'!$L$24)/1000</f>
        <v>918.479</v>
      </c>
      <c r="K403" s="13">
        <f>('[104]M13A_RESIDENTS'!$L$26)/1000</f>
        <v>426.592</v>
      </c>
      <c r="L403" s="13">
        <f>('[104]M13A_RESIDENTS'!$L$22)/1000</f>
        <v>486.658</v>
      </c>
      <c r="M403" s="13">
        <f>('[104]M13A_RESIDENTS'!$L$23)/1000</f>
        <v>3718.694</v>
      </c>
      <c r="N403" s="13">
        <f>('[104]M13A_RESIDENTS'!$L$19)/1000</f>
        <v>1115.289</v>
      </c>
      <c r="O403" s="13">
        <f>('[104]M13A_RESIDENTS'!$L$20)/1000</f>
        <v>1584.482</v>
      </c>
      <c r="P403" s="13">
        <f>('[104]M13A_RESIDENTS'!$L$27)/1000</f>
        <v>8204.625</v>
      </c>
      <c r="Q403" s="49">
        <f t="shared" si="38"/>
        <v>34482.278</v>
      </c>
      <c r="R403" s="13">
        <f>('[104]M13A_RESIDENTS'!$L$32)/1000</f>
        <v>30628.981</v>
      </c>
      <c r="S403" s="13">
        <f>('[104]M13A_RESIDENTS'!$L$31)/1000</f>
        <v>2030.975</v>
      </c>
      <c r="T403" s="13">
        <f>('[104]M13A_RESIDENTS'!$L$33)/1000</f>
        <v>1822.322</v>
      </c>
      <c r="U403" s="49">
        <f>('[104]M13A_RESIDENTS'!$L$8)/1000</f>
        <v>8761.209</v>
      </c>
      <c r="V403" s="49">
        <f t="shared" si="39"/>
        <v>15472.119</v>
      </c>
      <c r="W403" s="13">
        <f>('[104]M13A_RESIDENTS'!$L$36)/1000</f>
        <v>11221.634</v>
      </c>
      <c r="X403" s="13">
        <f>('[104]M13A_RESIDENTS'!$L$35)/1000</f>
        <v>303.896</v>
      </c>
      <c r="Y403" s="13">
        <f>('[104]M13A_RESIDENTS'!$L$34)/1000</f>
        <v>3946.589</v>
      </c>
      <c r="Z403" s="49">
        <f>('[104]M13A_RESIDENTS'!$L$37)/1000</f>
        <v>28270.186</v>
      </c>
      <c r="AA403" s="49">
        <f t="shared" si="40"/>
        <v>20666.948</v>
      </c>
      <c r="AB403" s="13">
        <f>('[104]M13A_RESIDENTS'!$L$4)/1000</f>
        <v>1032.249</v>
      </c>
      <c r="AC403" s="13">
        <f>('[104]M13A_RESIDENTS'!$L$5)/1000</f>
        <v>5.729</v>
      </c>
      <c r="AD403" s="13">
        <f>('[104]M13A_RESIDENTS'!$L$7)/1000</f>
        <v>19047.865</v>
      </c>
      <c r="AE403" s="13">
        <f>('[104]M13A_RESIDENTS'!$L$6)/1000</f>
        <v>581.105</v>
      </c>
      <c r="AF403" s="49">
        <f>('[104]M13A_RESIDENTS'!$L$38)/1000</f>
        <v>62733.557</v>
      </c>
      <c r="AG403" s="49">
        <f>('[104]M13A_RESIDENTS'!$L$45)/1000</f>
        <v>20.969</v>
      </c>
      <c r="AH403" s="49">
        <f>('[104]M13A_RESIDENTS'!$L$46)/1000</f>
        <v>54258.901</v>
      </c>
      <c r="AI403" s="49">
        <f>('[104]M13A_RESIDENTS'!$L$39)/1000</f>
        <v>2544.373</v>
      </c>
      <c r="AJ403" s="49">
        <f>(SUM('[104]M13A_RESIDENTS'!$L$40:$L$43))/1000</f>
        <v>41905.736</v>
      </c>
      <c r="AK403" s="49">
        <f>('[104]M13A_RESIDENTS'!$L$44)/1000</f>
        <v>342733.205</v>
      </c>
      <c r="AL403" s="49">
        <f>('[104]SUMMARY'!$C$23)/1000</f>
        <v>38985.81</v>
      </c>
      <c r="AM403" s="14">
        <f t="shared" si="41"/>
        <v>694495.3830000001</v>
      </c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8"/>
      <c r="ED403" s="18"/>
      <c r="EE403" s="18"/>
      <c r="EF403" s="18"/>
      <c r="EG403" s="18"/>
      <c r="EH403" s="18"/>
      <c r="EI403" s="18"/>
      <c r="EJ403" s="18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</row>
    <row r="404" spans="1:159" s="19" customFormat="1" ht="15">
      <c r="A404" s="22">
        <v>43434</v>
      </c>
      <c r="B404" s="49">
        <f t="shared" si="36"/>
        <v>13933.216</v>
      </c>
      <c r="C404" s="13">
        <f>(SUM('[105]M13A_RESIDENTS'!$L$12:$L$18))/1000</f>
        <v>9298.314</v>
      </c>
      <c r="D404" s="13">
        <f>(SUM('[105]M13A_RESIDENTS'!$L$10:$L$11))/1000</f>
        <v>1364.373</v>
      </c>
      <c r="E404" s="13">
        <f>('[105]M13A_RESIDENTS'!$L$9)/1000</f>
        <v>3270.529</v>
      </c>
      <c r="F404" s="49">
        <f>(SUM('[105]M13A_RESIDENTS'!$L$28:$L$30))/1000</f>
        <v>3710.415</v>
      </c>
      <c r="G404" s="49">
        <f t="shared" si="37"/>
        <v>29938.055999999997</v>
      </c>
      <c r="H404" s="13">
        <f>('[105]M13A_RESIDENTS'!$L$25)/1000</f>
        <v>19.533</v>
      </c>
      <c r="I404" s="13">
        <f>('[105]M13A_RESIDENTS'!$L$21)/1000</f>
        <v>10920.806</v>
      </c>
      <c r="J404" s="13">
        <f>('[105]M13A_RESIDENTS'!$L$24)/1000</f>
        <v>892.119</v>
      </c>
      <c r="K404" s="13">
        <f>('[105]M13A_RESIDENTS'!$L$26)/1000</f>
        <v>431.327</v>
      </c>
      <c r="L404" s="13">
        <f>('[105]M13A_RESIDENTS'!$L$22)/1000</f>
        <v>461.631</v>
      </c>
      <c r="M404" s="13">
        <f>('[105]M13A_RESIDENTS'!$L$23)/1000</f>
        <v>3721.743</v>
      </c>
      <c r="N404" s="13">
        <f>('[105]M13A_RESIDENTS'!$L$19)/1000</f>
        <v>3701.637</v>
      </c>
      <c r="O404" s="13">
        <f>('[105]M13A_RESIDENTS'!$L$20)/1000</f>
        <v>1539.768</v>
      </c>
      <c r="P404" s="13">
        <f>('[105]M13A_RESIDENTS'!$L$27)/1000</f>
        <v>8249.492</v>
      </c>
      <c r="Q404" s="49">
        <f t="shared" si="38"/>
        <v>33407.225999999995</v>
      </c>
      <c r="R404" s="13">
        <f>('[105]M13A_RESIDENTS'!$L$32)/1000</f>
        <v>29720.119</v>
      </c>
      <c r="S404" s="13">
        <f>('[105]M13A_RESIDENTS'!$L$31)/1000</f>
        <v>1932.134</v>
      </c>
      <c r="T404" s="13">
        <f>('[105]M13A_RESIDENTS'!$L$33)/1000</f>
        <v>1754.973</v>
      </c>
      <c r="U404" s="49">
        <f>('[105]M13A_RESIDENTS'!$L$8)/1000</f>
        <v>7442.253</v>
      </c>
      <c r="V404" s="49">
        <f t="shared" si="39"/>
        <v>15697.909000000001</v>
      </c>
      <c r="W404" s="13">
        <f>('[105]M13A_RESIDENTS'!$L$36)/1000</f>
        <v>11478.304</v>
      </c>
      <c r="X404" s="13">
        <f>('[105]M13A_RESIDENTS'!$L$35)/1000</f>
        <v>297.415</v>
      </c>
      <c r="Y404" s="13">
        <f>('[105]M13A_RESIDENTS'!$L$34)/1000</f>
        <v>3922.19</v>
      </c>
      <c r="Z404" s="49">
        <f>('[105]M13A_RESIDENTS'!$L$37)/1000</f>
        <v>27710.995</v>
      </c>
      <c r="AA404" s="49">
        <f t="shared" si="40"/>
        <v>18760.811999999998</v>
      </c>
      <c r="AB404" s="13">
        <f>('[105]M13A_RESIDENTS'!$L$4)/1000</f>
        <v>1091.085</v>
      </c>
      <c r="AC404" s="13">
        <f>('[105]M13A_RESIDENTS'!$L$5)/1000</f>
        <v>3.755</v>
      </c>
      <c r="AD404" s="13">
        <f>('[105]M13A_RESIDENTS'!$L$7)/1000</f>
        <v>17095.384</v>
      </c>
      <c r="AE404" s="13">
        <f>('[105]M13A_RESIDENTS'!$L$6)/1000</f>
        <v>570.588</v>
      </c>
      <c r="AF404" s="49">
        <f>('[105]M13A_RESIDENTS'!$L$38)/1000</f>
        <v>64430.933</v>
      </c>
      <c r="AG404" s="49">
        <f>('[105]M13A_RESIDENTS'!$L$45)/1000</f>
        <v>21.761</v>
      </c>
      <c r="AH404" s="49">
        <f>('[105]M13A_RESIDENTS'!$L$46)/1000</f>
        <v>53677.821</v>
      </c>
      <c r="AI404" s="49">
        <f>('[105]M13A_RESIDENTS'!$L$39)/1000</f>
        <v>2539.776</v>
      </c>
      <c r="AJ404" s="49">
        <f>(SUM('[105]M13A_RESIDENTS'!$L$40:$L$43))/1000</f>
        <v>42199.669</v>
      </c>
      <c r="AK404" s="49">
        <f>('[105]M13A_RESIDENTS'!$L$44)/1000</f>
        <v>343233.8</v>
      </c>
      <c r="AL404" s="49">
        <f>('[105]SUMMARY'!$C$23)/1000</f>
        <v>49923.24</v>
      </c>
      <c r="AM404" s="14">
        <f t="shared" si="41"/>
        <v>706627.8820000001</v>
      </c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8"/>
      <c r="ED404" s="18"/>
      <c r="EE404" s="18"/>
      <c r="EF404" s="18"/>
      <c r="EG404" s="18"/>
      <c r="EH404" s="18"/>
      <c r="EI404" s="18"/>
      <c r="EJ404" s="18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</row>
    <row r="405" spans="1:159" s="19" customFormat="1" ht="15">
      <c r="A405" s="22">
        <v>43465</v>
      </c>
      <c r="B405" s="49">
        <f t="shared" si="36"/>
        <v>13951.61</v>
      </c>
      <c r="C405" s="13">
        <f>(SUM('[106]M13A_RESIDENTS'!$L$12:$L$18))/1000</f>
        <v>9341.821</v>
      </c>
      <c r="D405" s="13">
        <f>(SUM('[106]M13A_RESIDENTS'!$L$10:$L$11))/1000</f>
        <v>1354.142</v>
      </c>
      <c r="E405" s="13">
        <f>('[106]M13A_RESIDENTS'!$L$9)/1000</f>
        <v>3255.647</v>
      </c>
      <c r="F405" s="49">
        <f>(SUM('[106]M13A_RESIDENTS'!$L$28:$L$30))/1000</f>
        <v>3650.301</v>
      </c>
      <c r="G405" s="49">
        <f t="shared" si="37"/>
        <v>30309.277000000002</v>
      </c>
      <c r="H405" s="13">
        <f>('[106]M13A_RESIDENTS'!$L$25)/1000</f>
        <v>131.772</v>
      </c>
      <c r="I405" s="13">
        <f>('[106]M13A_RESIDENTS'!$L$21)/1000</f>
        <v>10680.906</v>
      </c>
      <c r="J405" s="13">
        <f>('[106]M13A_RESIDENTS'!$L$24)/1000</f>
        <v>938.12</v>
      </c>
      <c r="K405" s="13">
        <f>('[106]M13A_RESIDENTS'!$L$26)/1000</f>
        <v>426.568</v>
      </c>
      <c r="L405" s="13">
        <f>('[106]M13A_RESIDENTS'!$L$22)/1000</f>
        <v>478.47</v>
      </c>
      <c r="M405" s="13">
        <f>('[106]M13A_RESIDENTS'!$L$23)/1000</f>
        <v>3716.86</v>
      </c>
      <c r="N405" s="13">
        <f>('[106]M13A_RESIDENTS'!$L$19)/1000</f>
        <v>4134.737</v>
      </c>
      <c r="O405" s="13">
        <f>('[106]M13A_RESIDENTS'!$L$20)/1000</f>
        <v>1582.238</v>
      </c>
      <c r="P405" s="13">
        <f>('[106]M13A_RESIDENTS'!$L$27)/1000</f>
        <v>8219.606</v>
      </c>
      <c r="Q405" s="49">
        <f t="shared" si="38"/>
        <v>34621.691999999995</v>
      </c>
      <c r="R405" s="13">
        <f>('[106]M13A_RESIDENTS'!$L$32)/1000</f>
        <v>31056.961</v>
      </c>
      <c r="S405" s="13">
        <f>('[106]M13A_RESIDENTS'!$L$31)/1000</f>
        <v>1945.156</v>
      </c>
      <c r="T405" s="13">
        <f>('[106]M13A_RESIDENTS'!$L$33)/1000</f>
        <v>1619.575</v>
      </c>
      <c r="U405" s="49">
        <f>('[106]M13A_RESIDENTS'!$L$8)/1000</f>
        <v>8076.002</v>
      </c>
      <c r="V405" s="49">
        <f t="shared" si="39"/>
        <v>15145.493</v>
      </c>
      <c r="W405" s="13">
        <f>('[106]M13A_RESIDENTS'!$L$36)/1000</f>
        <v>12099.497</v>
      </c>
      <c r="X405" s="13">
        <f>('[106]M13A_RESIDENTS'!$L$35)/1000</f>
        <v>321.869</v>
      </c>
      <c r="Y405" s="13">
        <f>('[106]M13A_RESIDENTS'!$L$34)/1000</f>
        <v>2724.127</v>
      </c>
      <c r="Z405" s="49">
        <f>('[106]M13A_RESIDENTS'!$L$37)/1000</f>
        <v>29140.719</v>
      </c>
      <c r="AA405" s="49">
        <f t="shared" si="40"/>
        <v>20132.326</v>
      </c>
      <c r="AB405" s="13">
        <f>('[106]M13A_RESIDENTS'!$L$4)/1000</f>
        <v>1426.522</v>
      </c>
      <c r="AC405" s="13">
        <f>('[106]M13A_RESIDENTS'!$L$5)/1000</f>
        <v>10.417</v>
      </c>
      <c r="AD405" s="13">
        <f>('[106]M13A_RESIDENTS'!$L$7)/1000</f>
        <v>18056.043</v>
      </c>
      <c r="AE405" s="13">
        <f>('[106]M13A_RESIDENTS'!$L$6)/1000</f>
        <v>639.344</v>
      </c>
      <c r="AF405" s="49">
        <f>('[106]M13A_RESIDENTS'!$L$38)/1000</f>
        <v>66543.765</v>
      </c>
      <c r="AG405" s="49">
        <f>('[106]M13A_RESIDENTS'!$L$45)/1000</f>
        <v>20.967</v>
      </c>
      <c r="AH405" s="49">
        <f>('[106]M13A_RESIDENTS'!$L$46)/1000</f>
        <v>52236.061</v>
      </c>
      <c r="AI405" s="49">
        <f>('[106]M13A_RESIDENTS'!$L$39)/1000</f>
        <v>2490.893</v>
      </c>
      <c r="AJ405" s="49">
        <f>(SUM('[106]M13A_RESIDENTS'!$L$40:$L$43))/1000</f>
        <v>42870.01</v>
      </c>
      <c r="AK405" s="49">
        <f>('[106]M13A_RESIDENTS'!$L$44)/1000</f>
        <v>347316.114</v>
      </c>
      <c r="AL405" s="49">
        <f>('[106]SUMMARY'!$C$23)/1000</f>
        <v>50329.768</v>
      </c>
      <c r="AM405" s="14">
        <f t="shared" si="41"/>
        <v>716834.998</v>
      </c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8"/>
      <c r="ED405" s="18"/>
      <c r="EE405" s="18"/>
      <c r="EF405" s="18"/>
      <c r="EG405" s="18"/>
      <c r="EH405" s="18"/>
      <c r="EI405" s="18"/>
      <c r="EJ405" s="18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</row>
    <row r="406" spans="1:159" s="19" customFormat="1" ht="15">
      <c r="A406" s="22">
        <v>43496</v>
      </c>
      <c r="B406" s="49">
        <f t="shared" si="36"/>
        <v>14603.47</v>
      </c>
      <c r="C406" s="13">
        <f>(SUM('[3]M13A_RESIDENTS'!$L$12:$L$18))/1000</f>
        <v>8889.355</v>
      </c>
      <c r="D406" s="13">
        <f>(SUM('[3]M13A_RESIDENTS'!$L$10:$L$11))/1000</f>
        <v>1960.858</v>
      </c>
      <c r="E406" s="13">
        <f>('[3]M13A_RESIDENTS'!$L$9)/1000</f>
        <v>3753.257</v>
      </c>
      <c r="F406" s="49">
        <f>(SUM('[3]M13A_RESIDENTS'!$L$28:$L$30))/1000</f>
        <v>5494.446</v>
      </c>
      <c r="G406" s="49">
        <f t="shared" si="37"/>
        <v>32402.091999999997</v>
      </c>
      <c r="H406" s="13">
        <f>('[3]M13A_RESIDENTS'!$L$25)/1000</f>
        <v>146.314</v>
      </c>
      <c r="I406" s="13">
        <f>('[3]M13A_RESIDENTS'!$L$21)/1000</f>
        <v>11506.898</v>
      </c>
      <c r="J406" s="13">
        <f>('[3]M13A_RESIDENTS'!$L$24)/1000</f>
        <v>943.312</v>
      </c>
      <c r="K406" s="13">
        <f>('[3]M13A_RESIDENTS'!$L$26)/1000</f>
        <v>419.153</v>
      </c>
      <c r="L406" s="13">
        <f>('[3]M13A_RESIDENTS'!$L$22)/1000</f>
        <v>488.746</v>
      </c>
      <c r="M406" s="13">
        <f>('[3]M13A_RESIDENTS'!$L$23)/1000</f>
        <v>3960.127</v>
      </c>
      <c r="N406" s="13">
        <f>('[3]M13A_RESIDENTS'!$L$19)/1000</f>
        <v>1117.268</v>
      </c>
      <c r="O406" s="13">
        <f>('[3]M13A_RESIDENTS'!$L$20)/1000</f>
        <v>4684.441</v>
      </c>
      <c r="P406" s="13">
        <f>('[3]M13A_RESIDENTS'!$L$27)/1000</f>
        <v>9135.833</v>
      </c>
      <c r="Q406" s="49">
        <f t="shared" si="38"/>
        <v>35675.312</v>
      </c>
      <c r="R406" s="13">
        <f>('[3]M13A_RESIDENTS'!$L$32)/1000</f>
        <v>32150.701</v>
      </c>
      <c r="S406" s="13">
        <f>('[3]M13A_RESIDENTS'!$L$31)/1000</f>
        <v>1916.441</v>
      </c>
      <c r="T406" s="13">
        <f>('[3]M13A_RESIDENTS'!$L$33)/1000</f>
        <v>1608.17</v>
      </c>
      <c r="U406" s="49">
        <f>('[3]M13A_RESIDENTS'!$L$8)/1000</f>
        <v>8349.474</v>
      </c>
      <c r="V406" s="49">
        <f t="shared" si="39"/>
        <v>14691.166000000001</v>
      </c>
      <c r="W406" s="13">
        <f>('[3]M13A_RESIDENTS'!$L$36)/1000</f>
        <v>12161.936</v>
      </c>
      <c r="X406" s="13">
        <f>('[3]M13A_RESIDENTS'!$L$35)/1000</f>
        <v>294.549</v>
      </c>
      <c r="Y406" s="13">
        <f>('[3]M13A_RESIDENTS'!$L$34)/1000</f>
        <v>2234.681</v>
      </c>
      <c r="Z406" s="49">
        <f>('[3]M13A_RESIDENTS'!$L$37)/1000</f>
        <v>32163.592</v>
      </c>
      <c r="AA406" s="49">
        <f t="shared" si="40"/>
        <v>19734.793999999998</v>
      </c>
      <c r="AB406" s="13">
        <f>('[3]M13A_RESIDENTS'!$L$4)/1000</f>
        <v>1360.783</v>
      </c>
      <c r="AC406" s="13">
        <f>('[3]M13A_RESIDENTS'!$L$5)/1000</f>
        <v>0.604</v>
      </c>
      <c r="AD406" s="13">
        <f>('[3]M13A_RESIDENTS'!$L$7)/1000</f>
        <v>17677.443</v>
      </c>
      <c r="AE406" s="13">
        <f>('[3]M13A_RESIDENTS'!$L$6)/1000</f>
        <v>695.964</v>
      </c>
      <c r="AF406" s="49">
        <f>('[3]M13A_RESIDENTS'!$L$38)/1000</f>
        <v>66994.854</v>
      </c>
      <c r="AG406" s="49">
        <f>('[3]M13A_RESIDENTS'!$L$45)/1000</f>
        <v>449.136</v>
      </c>
      <c r="AH406" s="49">
        <f>('[3]M13A_RESIDENTS'!$L$46)/1000</f>
        <v>55345.404</v>
      </c>
      <c r="AI406" s="49">
        <f>('[3]M13A_RESIDENTS'!$L$39)/1000</f>
        <v>2102.355</v>
      </c>
      <c r="AJ406" s="49">
        <f>(SUM('[3]M13A_RESIDENTS'!$L$40:$L$43))/1000</f>
        <v>46002.89</v>
      </c>
      <c r="AK406" s="49">
        <f>('[3]M13A_RESIDENTS'!$L$44)/1000</f>
        <v>357579.027</v>
      </c>
      <c r="AL406" s="49">
        <f>('[3]SUMMARY'!$C$23)/1000</f>
        <v>45604.613</v>
      </c>
      <c r="AM406" s="14">
        <f t="shared" si="41"/>
        <v>737192.625</v>
      </c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8"/>
      <c r="ED406" s="18"/>
      <c r="EE406" s="18"/>
      <c r="EF406" s="18"/>
      <c r="EG406" s="18"/>
      <c r="EH406" s="18"/>
      <c r="EI406" s="18"/>
      <c r="EJ406" s="18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</row>
    <row r="407" spans="1:159" s="19" customFormat="1" ht="15">
      <c r="A407" s="22">
        <v>43524</v>
      </c>
      <c r="B407" s="49">
        <f t="shared" si="36"/>
        <v>14627.205000000002</v>
      </c>
      <c r="C407" s="13">
        <f>(SUM('[152]M13A_RESIDENTS'!$L$12:$L$18))/1000</f>
        <v>8934.2</v>
      </c>
      <c r="D407" s="13">
        <f>(SUM('[152]M13A_RESIDENTS'!$L$10:$L$11))/1000</f>
        <v>1942.143</v>
      </c>
      <c r="E407" s="13">
        <f>('[152]M13A_RESIDENTS'!$L$9)/1000</f>
        <v>3750.862</v>
      </c>
      <c r="F407" s="49">
        <f>(SUM('[152]M13A_RESIDENTS'!$L$28:$L$30))/1000</f>
        <v>5332.211</v>
      </c>
      <c r="G407" s="49">
        <f t="shared" si="37"/>
        <v>32309.514</v>
      </c>
      <c r="H407" s="13">
        <f>('[152]M13A_RESIDENTS'!$L$25)/1000</f>
        <v>161.721</v>
      </c>
      <c r="I407" s="13">
        <f>('[152]M13A_RESIDENTS'!$L$21)/1000</f>
        <v>11557.05</v>
      </c>
      <c r="J407" s="13">
        <f>('[152]M13A_RESIDENTS'!$L$24)/1000</f>
        <v>938.541</v>
      </c>
      <c r="K407" s="13">
        <f>('[152]M13A_RESIDENTS'!$L$26)/1000</f>
        <v>412.046</v>
      </c>
      <c r="L407" s="13">
        <f>('[152]M13A_RESIDENTS'!$L$22)/1000</f>
        <v>498.521</v>
      </c>
      <c r="M407" s="13">
        <f>('[152]M13A_RESIDENTS'!$L$23)/1000</f>
        <v>3761.096</v>
      </c>
      <c r="N407" s="13">
        <f>('[152]M13A_RESIDENTS'!$L$19)/1000</f>
        <v>4144.147</v>
      </c>
      <c r="O407" s="13">
        <f>('[152]M13A_RESIDENTS'!$L$20)/1000</f>
        <v>1716.695</v>
      </c>
      <c r="P407" s="13">
        <f>('[152]M13A_RESIDENTS'!$L$27)/1000</f>
        <v>9119.697</v>
      </c>
      <c r="Q407" s="49">
        <f t="shared" si="38"/>
        <v>36749.637</v>
      </c>
      <c r="R407" s="13">
        <f>('[152]M13A_RESIDENTS'!$L$32)/1000</f>
        <v>33129.071</v>
      </c>
      <c r="S407" s="13">
        <f>('[152]M13A_RESIDENTS'!$L$31)/1000</f>
        <v>2044.816</v>
      </c>
      <c r="T407" s="13">
        <f>('[152]M13A_RESIDENTS'!$L$33)/1000</f>
        <v>1575.75</v>
      </c>
      <c r="U407" s="49">
        <f>('[152]M13A_RESIDENTS'!$L$8)/1000</f>
        <v>7826.05</v>
      </c>
      <c r="V407" s="49">
        <f t="shared" si="39"/>
        <v>13344.775000000001</v>
      </c>
      <c r="W407" s="13">
        <f>('[152]M13A_RESIDENTS'!$L$36)/1000</f>
        <v>10871.554</v>
      </c>
      <c r="X407" s="13">
        <f>('[152]M13A_RESIDENTS'!$L$35)/1000</f>
        <v>293.933</v>
      </c>
      <c r="Y407" s="13">
        <f>('[152]M13A_RESIDENTS'!$L$34)/1000</f>
        <v>2179.288</v>
      </c>
      <c r="Z407" s="49">
        <f>('[152]M13A_RESIDENTS'!$L$37)/1000</f>
        <v>32798.834</v>
      </c>
      <c r="AA407" s="49">
        <f t="shared" si="40"/>
        <v>19619.511000000002</v>
      </c>
      <c r="AB407" s="13">
        <f>('[152]M13A_RESIDENTS'!$L$4)/1000</f>
        <v>841.574</v>
      </c>
      <c r="AC407" s="13">
        <f>('[152]M13A_RESIDENTS'!$L$5)/1000</f>
        <v>0.013</v>
      </c>
      <c r="AD407" s="13">
        <f>('[152]M13A_RESIDENTS'!$L$7)/1000</f>
        <v>18232.9</v>
      </c>
      <c r="AE407" s="13">
        <f>('[152]M13A_RESIDENTS'!$L$6)/1000</f>
        <v>545.024</v>
      </c>
      <c r="AF407" s="49">
        <f>('[152]M13A_RESIDENTS'!$L$38)/1000</f>
        <v>66893.103</v>
      </c>
      <c r="AG407" s="49">
        <f>('[152]M13A_RESIDENTS'!$L$45)/1000</f>
        <v>503.863</v>
      </c>
      <c r="AH407" s="49">
        <f>('[152]M13A_RESIDENTS'!$L$46)/1000</f>
        <v>51573.669</v>
      </c>
      <c r="AI407" s="49">
        <f>('[152]M13A_RESIDENTS'!$L$39)/1000</f>
        <v>2123.446</v>
      </c>
      <c r="AJ407" s="49">
        <f>(SUM('[152]M13A_RESIDENTS'!$L$40:$L$43))/1000</f>
        <v>47221.781</v>
      </c>
      <c r="AK407" s="49">
        <f>('[152]M13A_RESIDENTS'!$L$44)/1000</f>
        <v>360573.722</v>
      </c>
      <c r="AL407" s="49">
        <f>('[152]SUMMARY'!$C$23)/1000</f>
        <v>44381.606</v>
      </c>
      <c r="AM407" s="14">
        <f t="shared" si="41"/>
        <v>735878.9270000001</v>
      </c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8"/>
      <c r="ED407" s="18"/>
      <c r="EE407" s="18"/>
      <c r="EF407" s="18"/>
      <c r="EG407" s="18"/>
      <c r="EH407" s="18"/>
      <c r="EI407" s="18"/>
      <c r="EJ407" s="18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</row>
    <row r="408" spans="1:159" s="19" customFormat="1" ht="15">
      <c r="A408" s="22">
        <v>43555</v>
      </c>
      <c r="B408" s="49">
        <f t="shared" si="36"/>
        <v>15010.601</v>
      </c>
      <c r="C408" s="13">
        <f>(SUM('[153]M13A_RESIDENTS'!$L$12:$L$18))/1000</f>
        <v>8894.343</v>
      </c>
      <c r="D408" s="13">
        <f>(SUM('[153]M13A_RESIDENTS'!$L$10:$L$11))/1000</f>
        <v>1920.268</v>
      </c>
      <c r="E408" s="13">
        <f>('[153]M13A_RESIDENTS'!$L$9)/1000</f>
        <v>4195.99</v>
      </c>
      <c r="F408" s="49">
        <f>(SUM('[153]M13A_RESIDENTS'!$L$28:$L$30))/1000</f>
        <v>5149.882</v>
      </c>
      <c r="G408" s="49">
        <f t="shared" si="37"/>
        <v>31720.601000000002</v>
      </c>
      <c r="H408" s="13">
        <f>('[153]M13A_RESIDENTS'!$L$25)/1000</f>
        <v>116.394</v>
      </c>
      <c r="I408" s="13">
        <f>('[153]M13A_RESIDENTS'!$L$21)/1000</f>
        <v>11655.353</v>
      </c>
      <c r="J408" s="13">
        <f>('[153]M13A_RESIDENTS'!$L$24)/1000</f>
        <v>1017.593</v>
      </c>
      <c r="K408" s="13">
        <f>('[153]M13A_RESIDENTS'!$L$26)/1000</f>
        <v>415.947</v>
      </c>
      <c r="L408" s="13">
        <f>('[153]M13A_RESIDENTS'!$L$22)/1000</f>
        <v>501.69</v>
      </c>
      <c r="M408" s="13">
        <f>('[153]M13A_RESIDENTS'!$L$23)/1000</f>
        <v>3684.711</v>
      </c>
      <c r="N408" s="13">
        <f>('[153]M13A_RESIDENTS'!$L$19)/1000</f>
        <v>3817.138</v>
      </c>
      <c r="O408" s="13">
        <f>('[153]M13A_RESIDENTS'!$L$20)/1000</f>
        <v>1699.358</v>
      </c>
      <c r="P408" s="13">
        <f>('[153]M13A_RESIDENTS'!$L$27)/1000</f>
        <v>8812.417</v>
      </c>
      <c r="Q408" s="49">
        <f t="shared" si="38"/>
        <v>36682.717</v>
      </c>
      <c r="R408" s="13">
        <f>('[153]M13A_RESIDENTS'!$L$32)/1000</f>
        <v>32816.155</v>
      </c>
      <c r="S408" s="13">
        <f>('[153]M13A_RESIDENTS'!$L$31)/1000</f>
        <v>2301.265</v>
      </c>
      <c r="T408" s="13">
        <f>('[153]M13A_RESIDENTS'!$L$33)/1000</f>
        <v>1565.297</v>
      </c>
      <c r="U408" s="49">
        <f>('[153]M13A_RESIDENTS'!$L$8)/1000</f>
        <v>11007.822</v>
      </c>
      <c r="V408" s="49">
        <f t="shared" si="39"/>
        <v>13205.940999999999</v>
      </c>
      <c r="W408" s="13">
        <f>('[153]M13A_RESIDENTS'!$L$36)/1000</f>
        <v>10649.347</v>
      </c>
      <c r="X408" s="13">
        <f>('[153]M13A_RESIDENTS'!$L$35)/1000</f>
        <v>281.777</v>
      </c>
      <c r="Y408" s="13">
        <f>('[153]M13A_RESIDENTS'!$L$34)/1000</f>
        <v>2274.817</v>
      </c>
      <c r="Z408" s="49">
        <f>('[153]M13A_RESIDENTS'!$L$37)/1000</f>
        <v>32076.139</v>
      </c>
      <c r="AA408" s="49">
        <f t="shared" si="40"/>
        <v>17504.13</v>
      </c>
      <c r="AB408" s="13">
        <f>('[153]M13A_RESIDENTS'!$L$4)/1000</f>
        <v>939.607</v>
      </c>
      <c r="AC408" s="13">
        <f>('[153]M13A_RESIDENTS'!$L$5)/1000</f>
        <v>0</v>
      </c>
      <c r="AD408" s="13">
        <f>('[153]M13A_RESIDENTS'!$L$7)/1000</f>
        <v>16035.564</v>
      </c>
      <c r="AE408" s="13">
        <f>('[153]M13A_RESIDENTS'!$L$6)/1000</f>
        <v>528.959</v>
      </c>
      <c r="AF408" s="49">
        <f>('[153]M13A_RESIDENTS'!$L$38)/1000</f>
        <v>68042.615</v>
      </c>
      <c r="AG408" s="49">
        <f>('[153]M13A_RESIDENTS'!$L$45)/1000</f>
        <v>476.948</v>
      </c>
      <c r="AH408" s="49">
        <f>('[153]M13A_RESIDENTS'!$L$46)/1000</f>
        <v>51827.525</v>
      </c>
      <c r="AI408" s="49">
        <f>('[153]M13A_RESIDENTS'!$L$39)/1000</f>
        <v>2135.298</v>
      </c>
      <c r="AJ408" s="49">
        <f>(SUM('[153]M13A_RESIDENTS'!$L$40:$L$43))/1000</f>
        <v>46917.26</v>
      </c>
      <c r="AK408" s="49">
        <f>('[153]M13A_RESIDENTS'!$L$44)/1000</f>
        <v>364450.079</v>
      </c>
      <c r="AL408" s="49">
        <f>('[153]SUMMARY'!$C$23)/1000</f>
        <v>47036.197</v>
      </c>
      <c r="AM408" s="14">
        <f t="shared" si="41"/>
        <v>743243.7550000001</v>
      </c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8"/>
      <c r="ED408" s="18"/>
      <c r="EE408" s="18"/>
      <c r="EF408" s="18"/>
      <c r="EG408" s="18"/>
      <c r="EH408" s="18"/>
      <c r="EI408" s="18"/>
      <c r="EJ408" s="18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</row>
    <row r="409" spans="1:159" s="19" customFormat="1" ht="15">
      <c r="A409" s="22">
        <v>43585</v>
      </c>
      <c r="B409" s="49">
        <f t="shared" si="36"/>
        <v>15028.81</v>
      </c>
      <c r="C409" s="13">
        <f>(SUM('[154]M13A_RESIDENTS'!$L$12:$L$18))/1000</f>
        <v>8872.256</v>
      </c>
      <c r="D409" s="13">
        <f>(SUM('[154]M13A_RESIDENTS'!$L$10:$L$11))/1000</f>
        <v>1962.945</v>
      </c>
      <c r="E409" s="13">
        <f>('[154]M13A_RESIDENTS'!$L$9)/1000</f>
        <v>4193.609</v>
      </c>
      <c r="F409" s="49">
        <f>(SUM('[154]M13A_RESIDENTS'!$L$28:$L$30))/1000</f>
        <v>5397.111</v>
      </c>
      <c r="G409" s="49">
        <f t="shared" si="37"/>
        <v>32834.962</v>
      </c>
      <c r="H409" s="13">
        <f>('[154]M13A_RESIDENTS'!$L$25)/1000</f>
        <v>114.459</v>
      </c>
      <c r="I409" s="13">
        <f>('[154]M13A_RESIDENTS'!$L$21)/1000</f>
        <v>11660.428</v>
      </c>
      <c r="J409" s="13">
        <f>('[154]M13A_RESIDENTS'!$L$24)/1000</f>
        <v>1025.146</v>
      </c>
      <c r="K409" s="13">
        <f>('[154]M13A_RESIDENTS'!$L$26)/1000</f>
        <v>419.104</v>
      </c>
      <c r="L409" s="13">
        <f>('[154]M13A_RESIDENTS'!$L$22)/1000</f>
        <v>538.753</v>
      </c>
      <c r="M409" s="13">
        <f>('[154]M13A_RESIDENTS'!$L$23)/1000</f>
        <v>3910.464</v>
      </c>
      <c r="N409" s="13">
        <f>('[154]M13A_RESIDENTS'!$L$19)/1000</f>
        <v>4256.06</v>
      </c>
      <c r="O409" s="13">
        <f>('[154]M13A_RESIDENTS'!$L$20)/1000</f>
        <v>1701.185</v>
      </c>
      <c r="P409" s="13">
        <f>('[154]M13A_RESIDENTS'!$L$27)/1000</f>
        <v>9209.363</v>
      </c>
      <c r="Q409" s="49">
        <f t="shared" si="38"/>
        <v>37848.416</v>
      </c>
      <c r="R409" s="13">
        <f>('[154]M13A_RESIDENTS'!$L$32)/1000</f>
        <v>33878.148</v>
      </c>
      <c r="S409" s="13">
        <f>('[154]M13A_RESIDENTS'!$L$31)/1000</f>
        <v>2427.774</v>
      </c>
      <c r="T409" s="13">
        <f>('[154]M13A_RESIDENTS'!$L$33)/1000</f>
        <v>1542.494</v>
      </c>
      <c r="U409" s="49">
        <f>('[154]M13A_RESIDENTS'!$L$8)/1000</f>
        <v>10927.626</v>
      </c>
      <c r="V409" s="49">
        <f t="shared" si="39"/>
        <v>13872.621000000001</v>
      </c>
      <c r="W409" s="13">
        <f>('[154]M13A_RESIDENTS'!$L$36)/1000</f>
        <v>11216.414</v>
      </c>
      <c r="X409" s="13">
        <f>('[154]M13A_RESIDENTS'!$L$35)/1000</f>
        <v>321.776</v>
      </c>
      <c r="Y409" s="13">
        <f>('[154]M13A_RESIDENTS'!$L$34)/1000</f>
        <v>2334.431</v>
      </c>
      <c r="Z409" s="49">
        <f>('[154]M13A_RESIDENTS'!$L$37)/1000</f>
        <v>33782.954</v>
      </c>
      <c r="AA409" s="49">
        <f t="shared" si="40"/>
        <v>17263.451</v>
      </c>
      <c r="AB409" s="13">
        <f>('[154]M13A_RESIDENTS'!$L$4)/1000</f>
        <v>946.376</v>
      </c>
      <c r="AC409" s="13">
        <f>('[154]M13A_RESIDENTS'!$L$5)/1000</f>
        <v>0</v>
      </c>
      <c r="AD409" s="13">
        <f>('[154]M13A_RESIDENTS'!$L$7)/1000</f>
        <v>15766.36</v>
      </c>
      <c r="AE409" s="13">
        <f>('[154]M13A_RESIDENTS'!$L$6)/1000</f>
        <v>550.715</v>
      </c>
      <c r="AF409" s="49">
        <f>('[154]M13A_RESIDENTS'!$L$38)/1000</f>
        <v>67515.194</v>
      </c>
      <c r="AG409" s="49">
        <f>('[154]M13A_RESIDENTS'!$L$45)/1000</f>
        <v>497.165</v>
      </c>
      <c r="AH409" s="49">
        <f>('[154]M13A_RESIDENTS'!$L$46)/1000</f>
        <v>54719.462</v>
      </c>
      <c r="AI409" s="49">
        <f>('[154]M13A_RESIDENTS'!$L$39)/1000</f>
        <v>2146.23</v>
      </c>
      <c r="AJ409" s="49">
        <f>(SUM('[154]M13A_RESIDENTS'!$L$40:$L$43))/1000</f>
        <v>51368.271</v>
      </c>
      <c r="AK409" s="49">
        <f>('[154]M13A_RESIDENTS'!$L$44)/1000</f>
        <v>369169.699</v>
      </c>
      <c r="AL409" s="49">
        <f>('[154]SUMMARY'!$C$23)/1000</f>
        <v>49784.936</v>
      </c>
      <c r="AM409" s="14">
        <f t="shared" si="41"/>
        <v>762156.908</v>
      </c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8"/>
      <c r="ED409" s="18"/>
      <c r="EE409" s="18"/>
      <c r="EF409" s="18"/>
      <c r="EG409" s="18"/>
      <c r="EH409" s="18"/>
      <c r="EI409" s="18"/>
      <c r="EJ409" s="18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</row>
    <row r="410" spans="1:159" s="19" customFormat="1" ht="15">
      <c r="A410" s="22">
        <v>43616</v>
      </c>
      <c r="B410" s="49">
        <f t="shared" si="36"/>
        <v>13823.065</v>
      </c>
      <c r="C410" s="13">
        <f>(SUM('[155]M13A_RESIDENTS'!$L$12:$L$18))/1000</f>
        <v>7668.495</v>
      </c>
      <c r="D410" s="13">
        <f>(SUM('[155]M13A_RESIDENTS'!$L$10:$L$11))/1000</f>
        <v>1960.882</v>
      </c>
      <c r="E410" s="13">
        <f>('[155]M13A_RESIDENTS'!$L$9)/1000</f>
        <v>4193.688</v>
      </c>
      <c r="F410" s="49">
        <f>(SUM('[155]M13A_RESIDENTS'!$L$28:$L$30))/1000</f>
        <v>5341.52</v>
      </c>
      <c r="G410" s="49">
        <f t="shared" si="37"/>
        <v>32663.009</v>
      </c>
      <c r="H410" s="13">
        <f>('[155]M13A_RESIDENTS'!$L$25)/1000</f>
        <v>593.587</v>
      </c>
      <c r="I410" s="13">
        <f>('[155]M13A_RESIDENTS'!$L$21)/1000</f>
        <v>11922.958</v>
      </c>
      <c r="J410" s="13">
        <f>('[155]M13A_RESIDENTS'!$L$24)/1000</f>
        <v>1026.546</v>
      </c>
      <c r="K410" s="13">
        <f>('[155]M13A_RESIDENTS'!$L$26)/1000</f>
        <v>419.068</v>
      </c>
      <c r="L410" s="13">
        <f>('[155]M13A_RESIDENTS'!$L$22)/1000</f>
        <v>553.291</v>
      </c>
      <c r="M410" s="13">
        <f>('[155]M13A_RESIDENTS'!$L$23)/1000</f>
        <v>3878.521</v>
      </c>
      <c r="N410" s="13">
        <f>('[155]M13A_RESIDENTS'!$L$19)/1000</f>
        <v>3258.727</v>
      </c>
      <c r="O410" s="13">
        <f>('[155]M13A_RESIDENTS'!$L$20)/1000</f>
        <v>1671.893</v>
      </c>
      <c r="P410" s="13">
        <f>('[155]M13A_RESIDENTS'!$L$27)/1000</f>
        <v>9338.418</v>
      </c>
      <c r="Q410" s="49">
        <f t="shared" si="38"/>
        <v>39255.443999999996</v>
      </c>
      <c r="R410" s="13">
        <f>('[155]M13A_RESIDENTS'!$L$32)/1000</f>
        <v>35114.693</v>
      </c>
      <c r="S410" s="13">
        <f>('[155]M13A_RESIDENTS'!$L$31)/1000</f>
        <v>2614.352</v>
      </c>
      <c r="T410" s="13">
        <f>('[155]M13A_RESIDENTS'!$L$33)/1000</f>
        <v>1526.399</v>
      </c>
      <c r="U410" s="49">
        <f>('[155]M13A_RESIDENTS'!$L$8)/1000</f>
        <v>8202.356</v>
      </c>
      <c r="V410" s="49">
        <f t="shared" si="39"/>
        <v>13657.137999999999</v>
      </c>
      <c r="W410" s="13">
        <f>('[155]M13A_RESIDENTS'!$L$36)/1000</f>
        <v>11055.118</v>
      </c>
      <c r="X410" s="13">
        <f>('[155]M13A_RESIDENTS'!$L$35)/1000</f>
        <v>342.364</v>
      </c>
      <c r="Y410" s="13">
        <f>('[155]M13A_RESIDENTS'!$L$34)/1000</f>
        <v>2259.656</v>
      </c>
      <c r="Z410" s="49">
        <f>('[155]M13A_RESIDENTS'!$L$37)/1000</f>
        <v>33786.273</v>
      </c>
      <c r="AA410" s="49">
        <f t="shared" si="40"/>
        <v>18755.143</v>
      </c>
      <c r="AB410" s="13">
        <f>('[155]M13A_RESIDENTS'!$L$4)/1000</f>
        <v>1332.953</v>
      </c>
      <c r="AC410" s="13">
        <f>('[155]M13A_RESIDENTS'!$L$5)/1000</f>
        <v>0</v>
      </c>
      <c r="AD410" s="13">
        <f>('[155]M13A_RESIDENTS'!$L$7)/1000</f>
        <v>17215.016</v>
      </c>
      <c r="AE410" s="13">
        <f>('[155]M13A_RESIDENTS'!$L$6)/1000</f>
        <v>207.174</v>
      </c>
      <c r="AF410" s="49">
        <f>('[155]M13A_RESIDENTS'!$L$38)/1000</f>
        <v>68306.757</v>
      </c>
      <c r="AG410" s="49">
        <f>('[155]M13A_RESIDENTS'!$L$45)/1000</f>
        <v>504.077</v>
      </c>
      <c r="AH410" s="49">
        <f>('[155]M13A_RESIDENTS'!$L$46)/1000</f>
        <v>53733.401</v>
      </c>
      <c r="AI410" s="49">
        <f>('[155]M13A_RESIDENTS'!$L$39)/1000</f>
        <v>2093.912</v>
      </c>
      <c r="AJ410" s="49">
        <f>(SUM('[155]M13A_RESIDENTS'!$L$40:$L$43))/1000</f>
        <v>51573.815</v>
      </c>
      <c r="AK410" s="49">
        <f>('[155]M13A_RESIDENTS'!$L$44)/1000</f>
        <v>381177.651</v>
      </c>
      <c r="AL410" s="49">
        <f>('[155]SUMMARY'!$C$23)/1000</f>
        <v>50354.75</v>
      </c>
      <c r="AM410" s="14">
        <f t="shared" si="41"/>
        <v>773228.3110000001</v>
      </c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8"/>
      <c r="ED410" s="18"/>
      <c r="EE410" s="18"/>
      <c r="EF410" s="18"/>
      <c r="EG410" s="18"/>
      <c r="EH410" s="18"/>
      <c r="EI410" s="18"/>
      <c r="EJ410" s="18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</row>
    <row r="411" spans="1:159" s="19" customFormat="1" ht="15">
      <c r="A411" s="22">
        <v>43646</v>
      </c>
      <c r="B411" s="49">
        <f t="shared" si="36"/>
        <v>13888.631000000001</v>
      </c>
      <c r="C411" s="13">
        <f>(SUM('[156]M13A_RESIDENTS'!$L$12:$L$18))/1000</f>
        <v>7612.305</v>
      </c>
      <c r="D411" s="13">
        <f>(SUM('[156]M13A_RESIDENTS'!$L$10:$L$11))/1000</f>
        <v>1932.169</v>
      </c>
      <c r="E411" s="13">
        <f>('[156]M13A_RESIDENTS'!$L$9)/1000</f>
        <v>4344.157</v>
      </c>
      <c r="F411" s="49">
        <f>(SUM('[156]M13A_RESIDENTS'!$L$28:$L$30))/1000</f>
        <v>5269.547</v>
      </c>
      <c r="G411" s="49">
        <f t="shared" si="37"/>
        <v>30856.928999999996</v>
      </c>
      <c r="H411" s="13">
        <f>('[156]M13A_RESIDENTS'!$L$25)/1000</f>
        <v>601.767</v>
      </c>
      <c r="I411" s="13">
        <f>('[156]M13A_RESIDENTS'!$L$21)/1000</f>
        <v>11971.506</v>
      </c>
      <c r="J411" s="13">
        <f>('[156]M13A_RESIDENTS'!$L$24)/1000</f>
        <v>1010.938</v>
      </c>
      <c r="K411" s="13">
        <f>('[156]M13A_RESIDENTS'!$L$26)/1000</f>
        <v>423.259</v>
      </c>
      <c r="L411" s="13">
        <f>('[156]M13A_RESIDENTS'!$L$22)/1000</f>
        <v>582.951</v>
      </c>
      <c r="M411" s="13">
        <f>('[156]M13A_RESIDENTS'!$L$23)/1000</f>
        <v>3868.522</v>
      </c>
      <c r="N411" s="13">
        <f>('[156]M13A_RESIDENTS'!$L$19)/1000</f>
        <v>1332.889</v>
      </c>
      <c r="O411" s="13">
        <f>('[156]M13A_RESIDENTS'!$L$20)/1000</f>
        <v>1653.305</v>
      </c>
      <c r="P411" s="13">
        <f>('[156]M13A_RESIDENTS'!$L$27)/1000</f>
        <v>9411.792</v>
      </c>
      <c r="Q411" s="49">
        <f t="shared" si="38"/>
        <v>39721.689</v>
      </c>
      <c r="R411" s="13">
        <f>('[156]M13A_RESIDENTS'!$L$32)/1000</f>
        <v>35548.75</v>
      </c>
      <c r="S411" s="13">
        <f>('[156]M13A_RESIDENTS'!$L$31)/1000</f>
        <v>2651.883</v>
      </c>
      <c r="T411" s="13">
        <f>('[156]M13A_RESIDENTS'!$L$33)/1000</f>
        <v>1521.056</v>
      </c>
      <c r="U411" s="49">
        <f>('[156]M13A_RESIDENTS'!$L$8)/1000</f>
        <v>10914.373</v>
      </c>
      <c r="V411" s="49">
        <f t="shared" si="39"/>
        <v>13620.537999999999</v>
      </c>
      <c r="W411" s="13">
        <f>('[156]M13A_RESIDENTS'!$L$36)/1000</f>
        <v>11073.66</v>
      </c>
      <c r="X411" s="13">
        <f>('[156]M13A_RESIDENTS'!$L$35)/1000</f>
        <v>306.746</v>
      </c>
      <c r="Y411" s="13">
        <f>('[156]M13A_RESIDENTS'!$L$34)/1000</f>
        <v>2240.132</v>
      </c>
      <c r="Z411" s="49">
        <f>('[156]M13A_RESIDENTS'!$L$37)/1000</f>
        <v>33183.043</v>
      </c>
      <c r="AA411" s="49">
        <f t="shared" si="40"/>
        <v>17329.042</v>
      </c>
      <c r="AB411" s="13">
        <f>('[156]M13A_RESIDENTS'!$L$4)/1000</f>
        <v>1519.192</v>
      </c>
      <c r="AC411" s="13">
        <f>('[156]M13A_RESIDENTS'!$L$5)/1000</f>
        <v>0</v>
      </c>
      <c r="AD411" s="13">
        <f>('[156]M13A_RESIDENTS'!$L$7)/1000</f>
        <v>15580.414</v>
      </c>
      <c r="AE411" s="13">
        <f>('[156]M13A_RESIDENTS'!$L$6)/1000</f>
        <v>229.436</v>
      </c>
      <c r="AF411" s="49">
        <f>('[156]M13A_RESIDENTS'!$L$38)/1000</f>
        <v>71417.94</v>
      </c>
      <c r="AG411" s="49">
        <f>('[156]M13A_RESIDENTS'!$L$45)/1000</f>
        <v>502.988</v>
      </c>
      <c r="AH411" s="49">
        <f>('[156]M13A_RESIDENTS'!$L$46)/1000</f>
        <v>52888.596</v>
      </c>
      <c r="AI411" s="49">
        <f>('[156]M13A_RESIDENTS'!$L$39)/1000</f>
        <v>2277.25</v>
      </c>
      <c r="AJ411" s="49">
        <f>(SUM('[156]M13A_RESIDENTS'!$L$40:$L$43))/1000</f>
        <v>53467.141</v>
      </c>
      <c r="AK411" s="49">
        <f>('[156]M13A_RESIDENTS'!$L$44)/1000</f>
        <v>380961.652</v>
      </c>
      <c r="AL411" s="49">
        <f>('[156]SUMMARY'!$C$23)/1000</f>
        <v>51139.612</v>
      </c>
      <c r="AM411" s="14">
        <f t="shared" si="41"/>
        <v>777438.971</v>
      </c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8"/>
      <c r="ED411" s="18"/>
      <c r="EE411" s="18"/>
      <c r="EF411" s="18"/>
      <c r="EG411" s="18"/>
      <c r="EH411" s="18"/>
      <c r="EI411" s="18"/>
      <c r="EJ411" s="18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</row>
    <row r="412" spans="1:159" s="19" customFormat="1" ht="15">
      <c r="A412" s="22">
        <v>43677</v>
      </c>
      <c r="B412" s="49">
        <f t="shared" si="36"/>
        <v>13745.238000000001</v>
      </c>
      <c r="C412" s="13">
        <f>(SUM('[157]M13A_RESIDENTS'!$L$12:$L$18))/1000</f>
        <v>7466.733</v>
      </c>
      <c r="D412" s="13">
        <f>(SUM('[157]M13A_RESIDENTS'!$L$10:$L$11))/1000</f>
        <v>1939.618</v>
      </c>
      <c r="E412" s="13">
        <f>('[157]M13A_RESIDENTS'!$L$9)/1000</f>
        <v>4338.887</v>
      </c>
      <c r="F412" s="49">
        <f>(SUM('[157]M13A_RESIDENTS'!$L$28:$L$30))/1000</f>
        <v>5349.236</v>
      </c>
      <c r="G412" s="49">
        <f t="shared" si="37"/>
        <v>30105.351000000002</v>
      </c>
      <c r="H412" s="13">
        <f>('[157]M13A_RESIDENTS'!$L$25)/1000</f>
        <v>581.23</v>
      </c>
      <c r="I412" s="13">
        <f>('[157]M13A_RESIDENTS'!$L$21)/1000</f>
        <v>11719.182</v>
      </c>
      <c r="J412" s="13">
        <f>('[157]M13A_RESIDENTS'!$L$24)/1000</f>
        <v>1046.672</v>
      </c>
      <c r="K412" s="13">
        <f>('[157]M13A_RESIDENTS'!$L$26)/1000</f>
        <v>413.131</v>
      </c>
      <c r="L412" s="13">
        <f>('[157]M13A_RESIDENTS'!$L$22)/1000</f>
        <v>557.512</v>
      </c>
      <c r="M412" s="13">
        <f>('[157]M13A_RESIDENTS'!$L$23)/1000</f>
        <v>3732.209</v>
      </c>
      <c r="N412" s="13">
        <f>('[157]M13A_RESIDENTS'!$L$19)/1000</f>
        <v>1367.32</v>
      </c>
      <c r="O412" s="13">
        <f>('[157]M13A_RESIDENTS'!$L$20)/1000</f>
        <v>1650.173</v>
      </c>
      <c r="P412" s="13">
        <f>('[157]M13A_RESIDENTS'!$L$27)/1000</f>
        <v>9037.922</v>
      </c>
      <c r="Q412" s="49">
        <f t="shared" si="38"/>
        <v>40320.218</v>
      </c>
      <c r="R412" s="13">
        <f>('[157]M13A_RESIDENTS'!$L$32)/1000</f>
        <v>35777.676</v>
      </c>
      <c r="S412" s="13">
        <f>('[157]M13A_RESIDENTS'!$L$31)/1000</f>
        <v>3056.268</v>
      </c>
      <c r="T412" s="13">
        <f>('[157]M13A_RESIDENTS'!$L$33)/1000</f>
        <v>1486.274</v>
      </c>
      <c r="U412" s="49">
        <f>('[157]M13A_RESIDENTS'!$L$8)/1000</f>
        <v>11780.921</v>
      </c>
      <c r="V412" s="49">
        <f t="shared" si="39"/>
        <v>14246.673</v>
      </c>
      <c r="W412" s="13">
        <f>('[157]M13A_RESIDENTS'!$L$36)/1000</f>
        <v>11609.449</v>
      </c>
      <c r="X412" s="13">
        <f>('[157]M13A_RESIDENTS'!$L$35)/1000</f>
        <v>378.849</v>
      </c>
      <c r="Y412" s="13">
        <f>('[157]M13A_RESIDENTS'!$L$34)/1000</f>
        <v>2258.375</v>
      </c>
      <c r="Z412" s="49">
        <f>('[157]M13A_RESIDENTS'!$L$37)/1000</f>
        <v>34531.238</v>
      </c>
      <c r="AA412" s="49">
        <f t="shared" si="40"/>
        <v>16715.969</v>
      </c>
      <c r="AB412" s="13">
        <f>('[157]M13A_RESIDENTS'!$L$4)/1000</f>
        <v>1387.26</v>
      </c>
      <c r="AC412" s="13">
        <f>('[157]M13A_RESIDENTS'!$L$5)/1000</f>
        <v>0</v>
      </c>
      <c r="AD412" s="13">
        <f>('[157]M13A_RESIDENTS'!$L$7)/1000</f>
        <v>15119.799</v>
      </c>
      <c r="AE412" s="13">
        <f>('[157]M13A_RESIDENTS'!$L$6)/1000</f>
        <v>208.91</v>
      </c>
      <c r="AF412" s="49">
        <f>('[157]M13A_RESIDENTS'!$L$38)/1000</f>
        <v>72605.191</v>
      </c>
      <c r="AG412" s="49">
        <f>('[157]M13A_RESIDENTS'!$L$45)/1000</f>
        <v>642.609</v>
      </c>
      <c r="AH412" s="49">
        <f>('[157]M13A_RESIDENTS'!$L$46)/1000</f>
        <v>54532.968</v>
      </c>
      <c r="AI412" s="49">
        <f>('[157]M13A_RESIDENTS'!$L$39)/1000</f>
        <v>2314.703</v>
      </c>
      <c r="AJ412" s="49">
        <f>(SUM('[157]M13A_RESIDENTS'!$L$40:$L$43))/1000</f>
        <v>54201.687</v>
      </c>
      <c r="AK412" s="49">
        <f>('[157]M13A_RESIDENTS'!$L$44)/1000</f>
        <v>386973.72</v>
      </c>
      <c r="AL412" s="49">
        <f>('[157]SUMMARY'!$C$23)/1000</f>
        <v>53373.902</v>
      </c>
      <c r="AM412" s="14">
        <f t="shared" si="41"/>
        <v>791439.624</v>
      </c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8"/>
      <c r="ED412" s="18"/>
      <c r="EE412" s="18"/>
      <c r="EF412" s="18"/>
      <c r="EG412" s="18"/>
      <c r="EH412" s="18"/>
      <c r="EI412" s="18"/>
      <c r="EJ412" s="18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</row>
    <row r="413" spans="1:159" s="19" customFormat="1" ht="15">
      <c r="A413" s="22">
        <v>43708</v>
      </c>
      <c r="B413" s="49">
        <f t="shared" si="36"/>
        <v>13828.806</v>
      </c>
      <c r="C413" s="13">
        <f>(SUM('[158]M13A_RESIDENTS'!$L$12:$L$18))/1000</f>
        <v>7574.778</v>
      </c>
      <c r="D413" s="13">
        <f>(SUM('[158]M13A_RESIDENTS'!$L$10:$L$11))/1000</f>
        <v>1917.534</v>
      </c>
      <c r="E413" s="13">
        <f>('[158]M13A_RESIDENTS'!$L$9)/1000</f>
        <v>4336.494</v>
      </c>
      <c r="F413" s="49">
        <f>(SUM('[158]M13A_RESIDENTS'!$L$28:$L$30))/1000</f>
        <v>5390.485</v>
      </c>
      <c r="G413" s="49">
        <f t="shared" si="37"/>
        <v>31016.954000000005</v>
      </c>
      <c r="H413" s="13">
        <f>('[158]M13A_RESIDENTS'!$L$25)/1000</f>
        <v>637.037</v>
      </c>
      <c r="I413" s="13">
        <f>('[158]M13A_RESIDENTS'!$L$21)/1000</f>
        <v>11907.677</v>
      </c>
      <c r="J413" s="13">
        <f>('[158]M13A_RESIDENTS'!$L$24)/1000</f>
        <v>980.51</v>
      </c>
      <c r="K413" s="13">
        <f>('[158]M13A_RESIDENTS'!$L$26)/1000</f>
        <v>393.908</v>
      </c>
      <c r="L413" s="13">
        <f>('[158]M13A_RESIDENTS'!$L$22)/1000</f>
        <v>548.713</v>
      </c>
      <c r="M413" s="13">
        <f>('[158]M13A_RESIDENTS'!$L$23)/1000</f>
        <v>3776.301</v>
      </c>
      <c r="N413" s="13">
        <f>('[158]M13A_RESIDENTS'!$L$19)/1000</f>
        <v>1365.758</v>
      </c>
      <c r="O413" s="13">
        <f>('[158]M13A_RESIDENTS'!$L$20)/1000</f>
        <v>2101.487</v>
      </c>
      <c r="P413" s="13">
        <f>('[158]M13A_RESIDENTS'!$L$27)/1000</f>
        <v>9305.563</v>
      </c>
      <c r="Q413" s="49">
        <f t="shared" si="38"/>
        <v>40490.788</v>
      </c>
      <c r="R413" s="13">
        <f>('[158]M13A_RESIDENTS'!$L$32)/1000</f>
        <v>35709.424</v>
      </c>
      <c r="S413" s="13">
        <f>('[158]M13A_RESIDENTS'!$L$31)/1000</f>
        <v>3352.989</v>
      </c>
      <c r="T413" s="13">
        <f>('[158]M13A_RESIDENTS'!$L$33)/1000</f>
        <v>1428.375</v>
      </c>
      <c r="U413" s="49">
        <f>('[158]M13A_RESIDENTS'!$L$8)/1000</f>
        <v>11752.131</v>
      </c>
      <c r="V413" s="49">
        <f t="shared" si="39"/>
        <v>21093.209</v>
      </c>
      <c r="W413" s="13">
        <f>('[158]M13A_RESIDENTS'!$L$36)/1000</f>
        <v>11471.568</v>
      </c>
      <c r="X413" s="13">
        <f>('[158]M13A_RESIDENTS'!$L$35)/1000</f>
        <v>496.078</v>
      </c>
      <c r="Y413" s="13">
        <f>('[158]M13A_RESIDENTS'!$L$34)/1000</f>
        <v>9125.563</v>
      </c>
      <c r="Z413" s="49">
        <f>('[158]M13A_RESIDENTS'!$L$37)/1000</f>
        <v>38321.946</v>
      </c>
      <c r="AA413" s="49">
        <f t="shared" si="40"/>
        <v>19146.226</v>
      </c>
      <c r="AB413" s="13">
        <f>('[158]M13A_RESIDENTS'!$L$4)/1000</f>
        <v>1329.256</v>
      </c>
      <c r="AC413" s="13">
        <f>('[158]M13A_RESIDENTS'!$L$5)/1000</f>
        <v>0</v>
      </c>
      <c r="AD413" s="13">
        <f>('[158]M13A_RESIDENTS'!$L$7)/1000</f>
        <v>17606.673</v>
      </c>
      <c r="AE413" s="13">
        <f>('[158]M13A_RESIDENTS'!$L$6)/1000</f>
        <v>210.297</v>
      </c>
      <c r="AF413" s="49">
        <f>('[158]M13A_RESIDENTS'!$L$38)/1000</f>
        <v>72892.724</v>
      </c>
      <c r="AG413" s="49">
        <f>('[158]M13A_RESIDENTS'!$L$45)/1000</f>
        <v>667.101</v>
      </c>
      <c r="AH413" s="49">
        <f>('[158]M13A_RESIDENTS'!$L$46)/1000</f>
        <v>50223.719</v>
      </c>
      <c r="AI413" s="49">
        <f>('[158]M13A_RESIDENTS'!$L$39)/1000</f>
        <v>2264.912</v>
      </c>
      <c r="AJ413" s="49">
        <f>(SUM('[158]M13A_RESIDENTS'!$L$40:$L$43))/1000</f>
        <v>53912.893</v>
      </c>
      <c r="AK413" s="49">
        <f>('[158]M13A_RESIDENTS'!$L$44)/1000</f>
        <v>392536.937</v>
      </c>
      <c r="AL413" s="49">
        <f>('[158]SUMMARY'!$C$23)/1000</f>
        <v>54062.798</v>
      </c>
      <c r="AM413" s="14">
        <f t="shared" si="41"/>
        <v>807601.629</v>
      </c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8"/>
      <c r="ED413" s="18"/>
      <c r="EE413" s="18"/>
      <c r="EF413" s="18"/>
      <c r="EG413" s="18"/>
      <c r="EH413" s="18"/>
      <c r="EI413" s="18"/>
      <c r="EJ413" s="18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</row>
    <row r="414" spans="1:159" s="19" customFormat="1" ht="15">
      <c r="A414" s="22">
        <v>43738</v>
      </c>
      <c r="B414" s="49">
        <f t="shared" si="36"/>
        <v>13898.791000000001</v>
      </c>
      <c r="C414" s="13">
        <f>(SUM('[159]M13A_RESIDENTS'!$L$12:$L$18))/1000</f>
        <v>7620.083</v>
      </c>
      <c r="D414" s="13">
        <f>(SUM('[159]M13A_RESIDENTS'!$L$10:$L$11))/1000</f>
        <v>1888.81</v>
      </c>
      <c r="E414" s="13">
        <f>('[159]M13A_RESIDENTS'!$L$9)/1000</f>
        <v>4389.898</v>
      </c>
      <c r="F414" s="49">
        <f>(SUM('[159]M13A_RESIDENTS'!$L$28:$L$30))/1000</f>
        <v>5311.669</v>
      </c>
      <c r="G414" s="49">
        <f t="shared" si="37"/>
        <v>30680.687</v>
      </c>
      <c r="H414" s="13">
        <f>('[159]M13A_RESIDENTS'!$L$25)/1000</f>
        <v>607.236</v>
      </c>
      <c r="I414" s="13">
        <f>('[159]M13A_RESIDENTS'!$L$21)/1000</f>
        <v>11783.074</v>
      </c>
      <c r="J414" s="13">
        <f>('[159]M13A_RESIDENTS'!$L$24)/1000</f>
        <v>1019.419</v>
      </c>
      <c r="K414" s="13">
        <f>('[159]M13A_RESIDENTS'!$L$26)/1000</f>
        <v>411.087</v>
      </c>
      <c r="L414" s="13">
        <f>('[159]M13A_RESIDENTS'!$L$22)/1000</f>
        <v>518.119</v>
      </c>
      <c r="M414" s="13">
        <f>('[159]M13A_RESIDENTS'!$L$23)/1000</f>
        <v>3684.4</v>
      </c>
      <c r="N414" s="13">
        <f>('[159]M13A_RESIDENTS'!$L$19)/1000</f>
        <v>1384.985</v>
      </c>
      <c r="O414" s="13">
        <f>('[159]M13A_RESIDENTS'!$L$20)/1000</f>
        <v>2095.116</v>
      </c>
      <c r="P414" s="13">
        <f>('[159]M13A_RESIDENTS'!$L$27)/1000</f>
        <v>9177.251</v>
      </c>
      <c r="Q414" s="49">
        <f t="shared" si="38"/>
        <v>41611.332</v>
      </c>
      <c r="R414" s="13">
        <f>('[159]M13A_RESIDENTS'!$L$32)/1000</f>
        <v>36377.389</v>
      </c>
      <c r="S414" s="13">
        <f>('[159]M13A_RESIDENTS'!$L$31)/1000</f>
        <v>3816.103</v>
      </c>
      <c r="T414" s="13">
        <f>('[159]M13A_RESIDENTS'!$L$33)/1000</f>
        <v>1417.84</v>
      </c>
      <c r="U414" s="49">
        <f>('[159]M13A_RESIDENTS'!$L$8)/1000</f>
        <v>11501.429</v>
      </c>
      <c r="V414" s="49">
        <f t="shared" si="39"/>
        <v>20271.78</v>
      </c>
      <c r="W414" s="13">
        <f>('[159]M13A_RESIDENTS'!$L$36)/1000</f>
        <v>10930.814</v>
      </c>
      <c r="X414" s="13">
        <f>('[159]M13A_RESIDENTS'!$L$35)/1000</f>
        <v>463.752</v>
      </c>
      <c r="Y414" s="13">
        <f>('[159]M13A_RESIDENTS'!$L$34)/1000</f>
        <v>8877.214</v>
      </c>
      <c r="Z414" s="49">
        <f>('[159]M13A_RESIDENTS'!$L$37)/1000</f>
        <v>38001.725</v>
      </c>
      <c r="AA414" s="49">
        <f t="shared" si="40"/>
        <v>17259.137</v>
      </c>
      <c r="AB414" s="13">
        <f>('[159]M13A_RESIDENTS'!$L$4)/1000</f>
        <v>1152.175</v>
      </c>
      <c r="AC414" s="13">
        <f>('[159]M13A_RESIDENTS'!$L$5)/1000</f>
        <v>0</v>
      </c>
      <c r="AD414" s="13">
        <f>('[159]M13A_RESIDENTS'!$L$7)/1000</f>
        <v>15910.729</v>
      </c>
      <c r="AE414" s="13">
        <f>('[159]M13A_RESIDENTS'!$L$6)/1000</f>
        <v>196.233</v>
      </c>
      <c r="AF414" s="49">
        <f>('[159]M13A_RESIDENTS'!$L$38)/1000</f>
        <v>74698.711</v>
      </c>
      <c r="AG414" s="49">
        <f>('[159]M13A_RESIDENTS'!$L$45)/1000</f>
        <v>736.96</v>
      </c>
      <c r="AH414" s="49">
        <f>('[159]M13A_RESIDENTS'!$L$46)/1000</f>
        <v>48624.464</v>
      </c>
      <c r="AI414" s="49">
        <f>('[159]M13A_RESIDENTS'!$L$39)/1000</f>
        <v>2260.385</v>
      </c>
      <c r="AJ414" s="49">
        <f>(SUM('[159]M13A_RESIDENTS'!$L$40:$L$43))/1000</f>
        <v>54522.722</v>
      </c>
      <c r="AK414" s="49">
        <f>('[159]M13A_RESIDENTS'!$L$44)/1000</f>
        <v>397940.984</v>
      </c>
      <c r="AL414" s="49">
        <f>('[159]SUMMARY'!$C$23)/1000</f>
        <v>54246.379</v>
      </c>
      <c r="AM414" s="14">
        <f t="shared" si="41"/>
        <v>811567.1549999999</v>
      </c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8"/>
      <c r="ED414" s="18"/>
      <c r="EE414" s="18"/>
      <c r="EF414" s="18"/>
      <c r="EG414" s="18"/>
      <c r="EH414" s="18"/>
      <c r="EI414" s="18"/>
      <c r="EJ414" s="18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</row>
    <row r="415" spans="1:159" s="19" customFormat="1" ht="15">
      <c r="A415" s="22">
        <v>43769</v>
      </c>
      <c r="B415" s="49">
        <f t="shared" si="36"/>
        <v>14071.798</v>
      </c>
      <c r="C415" s="13">
        <f>(SUM('[160]M13A_RESIDENTS'!$L$12:$L$18))/1000</f>
        <v>7552.109</v>
      </c>
      <c r="D415" s="13">
        <f>(SUM('[160]M13A_RESIDENTS'!$L$10:$L$11))/1000</f>
        <v>1919.689</v>
      </c>
      <c r="E415" s="13">
        <f>('[160]M13A_RESIDENTS'!$L$9)/1000</f>
        <v>4600</v>
      </c>
      <c r="F415" s="49">
        <f>(SUM('[160]M13A_RESIDENTS'!$L$28:$L$30))/1000</f>
        <v>973.611</v>
      </c>
      <c r="G415" s="49">
        <f t="shared" si="37"/>
        <v>32042.500000000004</v>
      </c>
      <c r="H415" s="13">
        <f>('[160]M13A_RESIDENTS'!$L$25)/1000</f>
        <v>1153.697</v>
      </c>
      <c r="I415" s="13">
        <f>('[160]M13A_RESIDENTS'!$L$21)/1000</f>
        <v>11696.422</v>
      </c>
      <c r="J415" s="13">
        <f>('[160]M13A_RESIDENTS'!$L$24)/1000</f>
        <v>998.347</v>
      </c>
      <c r="K415" s="13">
        <f>('[160]M13A_RESIDENTS'!$L$26)/1000</f>
        <v>402.303</v>
      </c>
      <c r="L415" s="13">
        <f>('[160]M13A_RESIDENTS'!$L$22)/1000</f>
        <v>791.118</v>
      </c>
      <c r="M415" s="13">
        <f>('[160]M13A_RESIDENTS'!$L$23)/1000</f>
        <v>3821.381</v>
      </c>
      <c r="N415" s="13">
        <f>('[160]M13A_RESIDENTS'!$L$19)/1000</f>
        <v>1304.024</v>
      </c>
      <c r="O415" s="13">
        <f>('[160]M13A_RESIDENTS'!$L$20)/1000</f>
        <v>2161.277</v>
      </c>
      <c r="P415" s="13">
        <f>('[160]M13A_RESIDENTS'!$L$27)/1000</f>
        <v>9713.931</v>
      </c>
      <c r="Q415" s="49">
        <f t="shared" si="38"/>
        <v>45302.549000000006</v>
      </c>
      <c r="R415" s="13">
        <f>('[160]M13A_RESIDENTS'!$L$32)/1000</f>
        <v>40201.798</v>
      </c>
      <c r="S415" s="13">
        <f>('[160]M13A_RESIDENTS'!$L$31)/1000</f>
        <v>3697.247</v>
      </c>
      <c r="T415" s="13">
        <f>('[160]M13A_RESIDENTS'!$L$33)/1000</f>
        <v>1403.504</v>
      </c>
      <c r="U415" s="49">
        <f>('[160]M13A_RESIDENTS'!$L$8)/1000</f>
        <v>11049.572</v>
      </c>
      <c r="V415" s="49">
        <f t="shared" si="39"/>
        <v>20203.622</v>
      </c>
      <c r="W415" s="13">
        <f>('[160]M13A_RESIDENTS'!$L$36)/1000</f>
        <v>10791.21</v>
      </c>
      <c r="X415" s="13">
        <f>('[160]M13A_RESIDENTS'!$L$35)/1000</f>
        <v>481.897</v>
      </c>
      <c r="Y415" s="13">
        <f>('[160]M13A_RESIDENTS'!$L$34)/1000</f>
        <v>8930.515</v>
      </c>
      <c r="Z415" s="49">
        <f>('[160]M13A_RESIDENTS'!$L$37)/1000</f>
        <v>39222.059</v>
      </c>
      <c r="AA415" s="49">
        <f t="shared" si="40"/>
        <v>18821.952</v>
      </c>
      <c r="AB415" s="13">
        <f>('[160]M13A_RESIDENTS'!$L$4)/1000</f>
        <v>1208.478</v>
      </c>
      <c r="AC415" s="13">
        <f>('[160]M13A_RESIDENTS'!$L$5)/1000</f>
        <v>2.593</v>
      </c>
      <c r="AD415" s="13">
        <f>('[160]M13A_RESIDENTS'!$L$7)/1000</f>
        <v>17414.393</v>
      </c>
      <c r="AE415" s="13">
        <f>('[160]M13A_RESIDENTS'!$L$6)/1000</f>
        <v>196.488</v>
      </c>
      <c r="AF415" s="49">
        <f>('[160]M13A_RESIDENTS'!$L$38)/1000</f>
        <v>76079.568</v>
      </c>
      <c r="AG415" s="49">
        <f>('[160]M13A_RESIDENTS'!$L$45)/1000</f>
        <v>778.981</v>
      </c>
      <c r="AH415" s="49">
        <f>('[160]M13A_RESIDENTS'!$L$46)/1000</f>
        <v>49842.279</v>
      </c>
      <c r="AI415" s="49">
        <f>('[160]M13A_RESIDENTS'!$L$39)/1000</f>
        <v>2032.151</v>
      </c>
      <c r="AJ415" s="49">
        <f>(SUM('[160]M13A_RESIDENTS'!$L$40:$L$43))/1000</f>
        <v>57219.924</v>
      </c>
      <c r="AK415" s="49">
        <f>('[160]M13A_RESIDENTS'!$L$44)/1000</f>
        <v>400983.926</v>
      </c>
      <c r="AL415" s="49">
        <f>('[160]SUMMARY'!$C$23)/1000</f>
        <v>58039.325</v>
      </c>
      <c r="AM415" s="14">
        <f t="shared" si="41"/>
        <v>826663.8169999999</v>
      </c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8"/>
      <c r="ED415" s="18"/>
      <c r="EE415" s="18"/>
      <c r="EF415" s="18"/>
      <c r="EG415" s="18"/>
      <c r="EH415" s="18"/>
      <c r="EI415" s="18"/>
      <c r="EJ415" s="18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</row>
    <row r="416" spans="1:159" s="19" customFormat="1" ht="15">
      <c r="A416" s="22">
        <v>43799</v>
      </c>
      <c r="B416" s="49">
        <f t="shared" si="36"/>
        <v>14289.74</v>
      </c>
      <c r="C416" s="13">
        <f>(SUM('[161]M13A_RESIDENTS'!$L$12:$L$18))/1000</f>
        <v>7531.332</v>
      </c>
      <c r="D416" s="13">
        <f>(SUM('[161]M13A_RESIDENTS'!$L$10:$L$11))/1000</f>
        <v>1908.408</v>
      </c>
      <c r="E416" s="13">
        <f>('[161]M13A_RESIDENTS'!$L$9)/1000</f>
        <v>4850</v>
      </c>
      <c r="F416" s="49">
        <f>(SUM('[161]M13A_RESIDENTS'!$L$28:$L$30))/1000</f>
        <v>955.935</v>
      </c>
      <c r="G416" s="49">
        <f t="shared" si="37"/>
        <v>32710.973000000005</v>
      </c>
      <c r="H416" s="13">
        <f>('[161]M13A_RESIDENTS'!$L$25)/1000</f>
        <v>2080.101</v>
      </c>
      <c r="I416" s="13">
        <f>('[161]M13A_RESIDENTS'!$L$21)/1000</f>
        <v>11490.221</v>
      </c>
      <c r="J416" s="13">
        <f>('[161]M13A_RESIDENTS'!$L$24)/1000</f>
        <v>993.885</v>
      </c>
      <c r="K416" s="13">
        <f>('[161]M13A_RESIDENTS'!$L$26)/1000</f>
        <v>498.554</v>
      </c>
      <c r="L416" s="13">
        <f>('[161]M13A_RESIDENTS'!$L$22)/1000</f>
        <v>781.37</v>
      </c>
      <c r="M416" s="13">
        <f>('[161]M13A_RESIDENTS'!$L$23)/1000</f>
        <v>3740.113</v>
      </c>
      <c r="N416" s="13">
        <f>('[161]M13A_RESIDENTS'!$L$19)/1000</f>
        <v>1255.272</v>
      </c>
      <c r="O416" s="13">
        <f>('[161]M13A_RESIDENTS'!$L$20)/1000</f>
        <v>2055.544</v>
      </c>
      <c r="P416" s="13">
        <f>('[161]M13A_RESIDENTS'!$L$27)/1000</f>
        <v>9815.913</v>
      </c>
      <c r="Q416" s="49">
        <f t="shared" si="38"/>
        <v>45658.409999999996</v>
      </c>
      <c r="R416" s="13">
        <f>('[161]M13A_RESIDENTS'!$L$32)/1000</f>
        <v>40634.053</v>
      </c>
      <c r="S416" s="13">
        <f>('[161]M13A_RESIDENTS'!$L$31)/1000</f>
        <v>3645.899</v>
      </c>
      <c r="T416" s="13">
        <f>('[161]M13A_RESIDENTS'!$L$33)/1000</f>
        <v>1378.458</v>
      </c>
      <c r="U416" s="49">
        <f>('[161]M13A_RESIDENTS'!$L$8)/1000</f>
        <v>11858.102</v>
      </c>
      <c r="V416" s="49">
        <f t="shared" si="39"/>
        <v>19790.345999999998</v>
      </c>
      <c r="W416" s="13">
        <f>('[161]M13A_RESIDENTS'!$L$36)/1000</f>
        <v>10524.132</v>
      </c>
      <c r="X416" s="13">
        <f>('[161]M13A_RESIDENTS'!$L$35)/1000</f>
        <v>440.885</v>
      </c>
      <c r="Y416" s="13">
        <f>('[161]M13A_RESIDENTS'!$L$34)/1000</f>
        <v>8825.329</v>
      </c>
      <c r="Z416" s="49">
        <f>('[161]M13A_RESIDENTS'!$L$37)/1000</f>
        <v>40623.401</v>
      </c>
      <c r="AA416" s="49">
        <f t="shared" si="40"/>
        <v>17968.615999999998</v>
      </c>
      <c r="AB416" s="13">
        <f>('[161]M13A_RESIDENTS'!$L$4)/1000</f>
        <v>1192.923</v>
      </c>
      <c r="AC416" s="13">
        <f>('[161]M13A_RESIDENTS'!$L$5)/1000</f>
        <v>2.091</v>
      </c>
      <c r="AD416" s="13">
        <f>('[161]M13A_RESIDENTS'!$L$7)/1000</f>
        <v>16582.23</v>
      </c>
      <c r="AE416" s="13">
        <f>('[161]M13A_RESIDENTS'!$L$6)/1000</f>
        <v>191.372</v>
      </c>
      <c r="AF416" s="49">
        <f>('[161]M13A_RESIDENTS'!$L$38)/1000</f>
        <v>76350.844</v>
      </c>
      <c r="AG416" s="49">
        <f>('[161]M13A_RESIDENTS'!$L$45)/1000</f>
        <v>887.018</v>
      </c>
      <c r="AH416" s="49">
        <f>('[161]M13A_RESIDENTS'!$L$46)/1000</f>
        <v>48301.864</v>
      </c>
      <c r="AI416" s="49">
        <f>('[161]M13A_RESIDENTS'!$L$39)/1000</f>
        <v>2006.615</v>
      </c>
      <c r="AJ416" s="49">
        <f>(SUM('[161]M13A_RESIDENTS'!$L$40:$L$43))/1000</f>
        <v>55190.27</v>
      </c>
      <c r="AK416" s="49">
        <f>('[161]M13A_RESIDENTS'!$L$44)/1000</f>
        <v>405929.332</v>
      </c>
      <c r="AL416" s="49">
        <f>('[161]SUMMARY'!$C$23)/1000</f>
        <v>58166.729</v>
      </c>
      <c r="AM416" s="14">
        <f t="shared" si="41"/>
        <v>830688.1950000002</v>
      </c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8"/>
      <c r="ED416" s="18"/>
      <c r="EE416" s="18"/>
      <c r="EF416" s="18"/>
      <c r="EG416" s="18"/>
      <c r="EH416" s="18"/>
      <c r="EI416" s="18"/>
      <c r="EJ416" s="18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</row>
    <row r="417" spans="1:159" s="19" customFormat="1" ht="15">
      <c r="A417" s="22">
        <v>43830</v>
      </c>
      <c r="B417" s="49">
        <f t="shared" si="36"/>
        <v>14666.764</v>
      </c>
      <c r="C417" s="13">
        <f>(SUM('[162]M13A_RESIDENTS'!$L$12:$L$18))/1000</f>
        <v>7625.447</v>
      </c>
      <c r="D417" s="13">
        <f>(SUM('[162]M13A_RESIDENTS'!$L$10:$L$11))/1000</f>
        <v>1891.317</v>
      </c>
      <c r="E417" s="13">
        <f>('[162]M13A_RESIDENTS'!$L$9)/1000</f>
        <v>5150</v>
      </c>
      <c r="F417" s="49">
        <f>(SUM('[162]M13A_RESIDENTS'!$L$28:$L$30))/1000</f>
        <v>932.727</v>
      </c>
      <c r="G417" s="49">
        <f t="shared" si="37"/>
        <v>32709.239</v>
      </c>
      <c r="H417" s="13">
        <f>('[162]M13A_RESIDENTS'!$L$25)/1000</f>
        <v>2054.866</v>
      </c>
      <c r="I417" s="13">
        <f>('[162]M13A_RESIDENTS'!$L$21)/1000</f>
        <v>11634.082</v>
      </c>
      <c r="J417" s="13">
        <f>('[162]M13A_RESIDENTS'!$L$24)/1000</f>
        <v>994.76</v>
      </c>
      <c r="K417" s="13">
        <f>('[162]M13A_RESIDENTS'!$L$26)/1000</f>
        <v>604.893</v>
      </c>
      <c r="L417" s="13">
        <f>('[162]M13A_RESIDENTS'!$L$22)/1000</f>
        <v>743.035</v>
      </c>
      <c r="M417" s="13">
        <f>('[162]M13A_RESIDENTS'!$L$23)/1000</f>
        <v>3625.236</v>
      </c>
      <c r="N417" s="13">
        <f>('[162]M13A_RESIDENTS'!$L$19)/1000</f>
        <v>1297.84</v>
      </c>
      <c r="O417" s="13">
        <f>('[162]M13A_RESIDENTS'!$L$20)/1000</f>
        <v>1996.95</v>
      </c>
      <c r="P417" s="13">
        <f>('[162]M13A_RESIDENTS'!$L$27)/1000</f>
        <v>9757.577</v>
      </c>
      <c r="Q417" s="49">
        <f t="shared" si="38"/>
        <v>49491.631</v>
      </c>
      <c r="R417" s="13">
        <f>('[162]M13A_RESIDENTS'!$L$32)/1000</f>
        <v>44292.919</v>
      </c>
      <c r="S417" s="13">
        <f>('[162]M13A_RESIDENTS'!$L$31)/1000</f>
        <v>3834.791</v>
      </c>
      <c r="T417" s="13">
        <f>('[162]M13A_RESIDENTS'!$L$33)/1000</f>
        <v>1363.921</v>
      </c>
      <c r="U417" s="49">
        <f>('[162]M13A_RESIDENTS'!$L$8)/1000</f>
        <v>12309.884</v>
      </c>
      <c r="V417" s="49">
        <f t="shared" si="39"/>
        <v>30419.739</v>
      </c>
      <c r="W417" s="13">
        <f>('[162]M13A_RESIDENTS'!$L$36)/1000</f>
        <v>21210.89</v>
      </c>
      <c r="X417" s="13">
        <f>('[162]M13A_RESIDENTS'!$L$35)/1000</f>
        <v>466.122</v>
      </c>
      <c r="Y417" s="13">
        <f>('[162]M13A_RESIDENTS'!$L$34)/1000</f>
        <v>8742.727</v>
      </c>
      <c r="Z417" s="49">
        <f>('[162]M13A_RESIDENTS'!$L$37)/1000</f>
        <v>39424.662</v>
      </c>
      <c r="AA417" s="49">
        <f t="shared" si="40"/>
        <v>13312.554999999998</v>
      </c>
      <c r="AB417" s="13">
        <f>('[162]M13A_RESIDENTS'!$L$4)/1000</f>
        <v>1040.615</v>
      </c>
      <c r="AC417" s="13">
        <f>('[162]M13A_RESIDENTS'!$L$5)/1000</f>
        <v>1.488</v>
      </c>
      <c r="AD417" s="13">
        <f>('[162]M13A_RESIDENTS'!$L$7)/1000</f>
        <v>12086.925</v>
      </c>
      <c r="AE417" s="13">
        <f>('[162]M13A_RESIDENTS'!$L$6)/1000</f>
        <v>183.527</v>
      </c>
      <c r="AF417" s="49">
        <f>('[162]M13A_RESIDENTS'!$L$38)/1000</f>
        <v>75857.573</v>
      </c>
      <c r="AG417" s="49">
        <f>('[162]M13A_RESIDENTS'!$L$45)/1000</f>
        <v>999.295</v>
      </c>
      <c r="AH417" s="49">
        <f>('[162]M13A_RESIDENTS'!$L$46)/1000</f>
        <v>48473.828</v>
      </c>
      <c r="AI417" s="49">
        <f>('[162]M13A_RESIDENTS'!$L$39)/1000</f>
        <v>2238.764</v>
      </c>
      <c r="AJ417" s="49">
        <f>(SUM('[162]M13A_RESIDENTS'!$L$40:$L$43))/1000</f>
        <v>55027.073</v>
      </c>
      <c r="AK417" s="49">
        <f>('[162]M13A_RESIDENTS'!$L$44)/1000</f>
        <v>410481.495</v>
      </c>
      <c r="AL417" s="49">
        <f>('[162]SUMMARY'!$C$23)/1000</f>
        <v>56308.736</v>
      </c>
      <c r="AM417" s="14">
        <f t="shared" si="41"/>
        <v>842653.965</v>
      </c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8"/>
      <c r="ED417" s="18"/>
      <c r="EE417" s="18"/>
      <c r="EF417" s="18"/>
      <c r="EG417" s="18"/>
      <c r="EH417" s="18"/>
      <c r="EI417" s="18"/>
      <c r="EJ417" s="18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</row>
    <row r="418" spans="1:159" s="19" customFormat="1" ht="15">
      <c r="A418" s="22">
        <v>43861</v>
      </c>
      <c r="B418" s="49">
        <f t="shared" si="36"/>
        <v>14480.109</v>
      </c>
      <c r="C418" s="13">
        <f>(SUM('[163]M13A_RESIDENTS'!$L$12:$L$18))/1000</f>
        <v>7443.98</v>
      </c>
      <c r="D418" s="13">
        <f>(SUM('[163]M13A_RESIDENTS'!$L$10:$L$11))/1000</f>
        <v>1886.129</v>
      </c>
      <c r="E418" s="13">
        <f>('[163]M13A_RESIDENTS'!$L$9)/1000</f>
        <v>5150</v>
      </c>
      <c r="F418" s="49">
        <f>(SUM('[163]M13A_RESIDENTS'!$L$28:$L$30))/1000</f>
        <v>759.062</v>
      </c>
      <c r="G418" s="49">
        <f t="shared" si="37"/>
        <v>32996.122</v>
      </c>
      <c r="H418" s="13">
        <f>('[163]M13A_RESIDENTS'!$L$25)/1000</f>
        <v>2040.996</v>
      </c>
      <c r="I418" s="13">
        <f>('[163]M13A_RESIDENTS'!$L$21)/1000</f>
        <v>11928.94</v>
      </c>
      <c r="J418" s="13">
        <f>('[163]M13A_RESIDENTS'!$L$24)/1000</f>
        <v>996.777</v>
      </c>
      <c r="K418" s="13">
        <f>('[163]M13A_RESIDENTS'!$L$26)/1000</f>
        <v>524.974</v>
      </c>
      <c r="L418" s="13">
        <f>('[163]M13A_RESIDENTS'!$L$22)/1000</f>
        <v>743.089</v>
      </c>
      <c r="M418" s="13">
        <f>('[163]M13A_RESIDENTS'!$L$23)/1000</f>
        <v>3865.143</v>
      </c>
      <c r="N418" s="13">
        <f>('[163]M13A_RESIDENTS'!$L$19)/1000</f>
        <v>1287.332</v>
      </c>
      <c r="O418" s="13">
        <f>('[163]M13A_RESIDENTS'!$L$20)/1000</f>
        <v>2055.746</v>
      </c>
      <c r="P418" s="13">
        <f>('[163]M13A_RESIDENTS'!$L$27)/1000</f>
        <v>9553.125</v>
      </c>
      <c r="Q418" s="49">
        <f t="shared" si="38"/>
        <v>51020.988</v>
      </c>
      <c r="R418" s="13">
        <f>('[163]M13A_RESIDENTS'!$L$32)/1000</f>
        <v>45735.763</v>
      </c>
      <c r="S418" s="13">
        <f>('[163]M13A_RESIDENTS'!$L$31)/1000</f>
        <v>3981.796</v>
      </c>
      <c r="T418" s="13">
        <f>('[163]M13A_RESIDENTS'!$L$33)/1000</f>
        <v>1303.429</v>
      </c>
      <c r="U418" s="49">
        <f>('[163]M13A_RESIDENTS'!$L$8)/1000</f>
        <v>12346.512</v>
      </c>
      <c r="V418" s="49">
        <f t="shared" si="39"/>
        <v>31415.698000000004</v>
      </c>
      <c r="W418" s="13">
        <f>('[163]M13A_RESIDENTS'!$L$36)/1000</f>
        <v>22120.768</v>
      </c>
      <c r="X418" s="13">
        <f>('[163]M13A_RESIDENTS'!$L$35)/1000</f>
        <v>466.811</v>
      </c>
      <c r="Y418" s="13">
        <f>('[163]M13A_RESIDENTS'!$L$34)/1000</f>
        <v>8828.119</v>
      </c>
      <c r="Z418" s="49">
        <f>('[163]M13A_RESIDENTS'!$L$37)/1000</f>
        <v>41530.301</v>
      </c>
      <c r="AA418" s="49">
        <f t="shared" si="40"/>
        <v>18048.574</v>
      </c>
      <c r="AB418" s="13">
        <f>('[163]M13A_RESIDENTS'!$L$4)/1000</f>
        <v>1193.605</v>
      </c>
      <c r="AC418" s="13">
        <f>('[163]M13A_RESIDENTS'!$L$5)/1000</f>
        <v>1.01</v>
      </c>
      <c r="AD418" s="13">
        <f>('[163]M13A_RESIDENTS'!$L$7)/1000</f>
        <v>16671.351</v>
      </c>
      <c r="AE418" s="13">
        <f>('[163]M13A_RESIDENTS'!$L$6)/1000</f>
        <v>182.608</v>
      </c>
      <c r="AF418" s="49">
        <f>('[163]M13A_RESIDENTS'!$L$38)/1000</f>
        <v>75125.617</v>
      </c>
      <c r="AG418" s="49">
        <f>('[163]M13A_RESIDENTS'!$L$45)/1000</f>
        <v>1006.72</v>
      </c>
      <c r="AH418" s="49">
        <f>('[163]M13A_RESIDENTS'!$L$46)/1000</f>
        <v>50601.935</v>
      </c>
      <c r="AI418" s="49">
        <f>('[163]M13A_RESIDENTS'!$L$39)/1000</f>
        <v>2441.867</v>
      </c>
      <c r="AJ418" s="49">
        <f>(SUM('[163]M13A_RESIDENTS'!$L$40:$L$43))/1000</f>
        <v>54096.728</v>
      </c>
      <c r="AK418" s="49">
        <f>('[163]M13A_RESIDENTS'!$L$44)/1000</f>
        <v>414393.88</v>
      </c>
      <c r="AL418" s="49">
        <f>('[163]SUMMARY'!$C$23)/1000</f>
        <v>61568.171</v>
      </c>
      <c r="AM418" s="14">
        <f t="shared" si="41"/>
        <v>861832.284</v>
      </c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8"/>
      <c r="ED418" s="18"/>
      <c r="EE418" s="18"/>
      <c r="EF418" s="18"/>
      <c r="EG418" s="18"/>
      <c r="EH418" s="18"/>
      <c r="EI418" s="18"/>
      <c r="EJ418" s="18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</row>
    <row r="419" spans="1:72" ht="15">
      <c r="A419" s="22">
        <v>43890</v>
      </c>
      <c r="B419" s="49">
        <v>15531.401</v>
      </c>
      <c r="C419" s="13">
        <v>7702.133</v>
      </c>
      <c r="D419" s="13">
        <v>2679.268</v>
      </c>
      <c r="E419" s="13">
        <v>5150</v>
      </c>
      <c r="F419" s="49">
        <v>779.863</v>
      </c>
      <c r="G419" s="49">
        <v>32797.67</v>
      </c>
      <c r="H419" s="13">
        <v>2077.266</v>
      </c>
      <c r="I419" s="13">
        <v>12323.69</v>
      </c>
      <c r="J419" s="13">
        <v>975.618</v>
      </c>
      <c r="K419" s="13">
        <v>543.721</v>
      </c>
      <c r="L419" s="13">
        <v>746.099</v>
      </c>
      <c r="M419" s="13">
        <v>3771.839</v>
      </c>
      <c r="N419" s="13">
        <v>1345.535</v>
      </c>
      <c r="O419" s="13">
        <v>1961.027</v>
      </c>
      <c r="P419" s="13">
        <v>9052.875</v>
      </c>
      <c r="Q419" s="49">
        <v>51367.756</v>
      </c>
      <c r="R419" s="13">
        <v>45671.294</v>
      </c>
      <c r="S419" s="13">
        <v>4399.775</v>
      </c>
      <c r="T419" s="13">
        <v>1296.687</v>
      </c>
      <c r="U419" s="49">
        <v>12708.912</v>
      </c>
      <c r="V419" s="49">
        <v>30830.776</v>
      </c>
      <c r="W419" s="13">
        <v>21606.835</v>
      </c>
      <c r="X419" s="13">
        <v>470.928</v>
      </c>
      <c r="Y419" s="13">
        <v>8753.013</v>
      </c>
      <c r="Z419" s="49">
        <v>42398.502</v>
      </c>
      <c r="AA419" s="49">
        <v>17421.831</v>
      </c>
      <c r="AB419" s="13">
        <v>1318.142</v>
      </c>
      <c r="AC419" s="13">
        <v>0.507</v>
      </c>
      <c r="AD419" s="13">
        <v>15921.768</v>
      </c>
      <c r="AE419" s="13">
        <v>181.414</v>
      </c>
      <c r="AF419" s="49">
        <v>77887.162</v>
      </c>
      <c r="AG419" s="49">
        <v>981.475</v>
      </c>
      <c r="AH419" s="49">
        <v>49202.564</v>
      </c>
      <c r="AI419" s="49">
        <v>2477.67</v>
      </c>
      <c r="AJ419" s="49">
        <v>54684.123</v>
      </c>
      <c r="AK419" s="49">
        <v>421079.126</v>
      </c>
      <c r="AL419" s="49">
        <v>60250.403</v>
      </c>
      <c r="AM419" s="14">
        <v>870399.234</v>
      </c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</row>
    <row r="420" spans="1:72" ht="15">
      <c r="A420" s="22">
        <v>43921</v>
      </c>
      <c r="B420" s="49">
        <v>15505.53</v>
      </c>
      <c r="C420" s="13">
        <v>7821.998</v>
      </c>
      <c r="D420" s="13">
        <v>2650.72</v>
      </c>
      <c r="E420" s="13">
        <v>5032.812</v>
      </c>
      <c r="F420" s="49">
        <v>1020.502</v>
      </c>
      <c r="G420" s="49">
        <v>34997.912</v>
      </c>
      <c r="H420" s="13">
        <v>2118.3</v>
      </c>
      <c r="I420" s="13">
        <v>14660.789</v>
      </c>
      <c r="J420" s="13">
        <v>994.245</v>
      </c>
      <c r="K420" s="13">
        <v>536.331</v>
      </c>
      <c r="L420" s="13">
        <v>707.123</v>
      </c>
      <c r="M420" s="13">
        <v>3687.311</v>
      </c>
      <c r="N420" s="13">
        <v>1347.05</v>
      </c>
      <c r="O420" s="13">
        <v>2012.532</v>
      </c>
      <c r="P420" s="13">
        <v>8934.231</v>
      </c>
      <c r="Q420" s="49">
        <v>51027.517</v>
      </c>
      <c r="R420" s="13">
        <v>45123.153</v>
      </c>
      <c r="S420" s="13">
        <v>4634.177</v>
      </c>
      <c r="T420" s="13">
        <v>1270.187</v>
      </c>
      <c r="U420" s="49">
        <v>13858.1</v>
      </c>
      <c r="V420" s="49">
        <v>19191.065</v>
      </c>
      <c r="W420" s="13">
        <v>10003.586</v>
      </c>
      <c r="X420" s="13">
        <v>501.903</v>
      </c>
      <c r="Y420" s="13">
        <v>8685.576</v>
      </c>
      <c r="Z420" s="49">
        <v>41821.646</v>
      </c>
      <c r="AA420" s="49">
        <v>13887.139</v>
      </c>
      <c r="AB420" s="13">
        <v>1202.836</v>
      </c>
      <c r="AC420" s="13">
        <v>0.509</v>
      </c>
      <c r="AD420" s="13">
        <v>12512.713</v>
      </c>
      <c r="AE420" s="13">
        <v>171.081</v>
      </c>
      <c r="AF420" s="49">
        <v>77154.26</v>
      </c>
      <c r="AG420" s="49">
        <v>1014.527</v>
      </c>
      <c r="AH420" s="49">
        <v>55790.937</v>
      </c>
      <c r="AI420" s="49">
        <v>2485.59</v>
      </c>
      <c r="AJ420" s="49">
        <v>57107.946</v>
      </c>
      <c r="AK420" s="49">
        <v>421494.765</v>
      </c>
      <c r="AL420" s="49">
        <v>59667.87</v>
      </c>
      <c r="AM420" s="14">
        <v>866025.306</v>
      </c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</row>
    <row r="421" spans="1:72" ht="15">
      <c r="A421" s="22">
        <v>43951</v>
      </c>
      <c r="B421" s="49">
        <v>15423.715</v>
      </c>
      <c r="C421" s="13">
        <v>7636.096</v>
      </c>
      <c r="D421" s="13">
        <v>2754.807</v>
      </c>
      <c r="E421" s="13">
        <v>5032.812</v>
      </c>
      <c r="F421" s="49">
        <v>1037.407</v>
      </c>
      <c r="G421" s="49">
        <v>36439.923</v>
      </c>
      <c r="H421" s="13">
        <v>3140.161</v>
      </c>
      <c r="I421" s="13">
        <v>14831.867</v>
      </c>
      <c r="J421" s="13">
        <v>987.823</v>
      </c>
      <c r="K421" s="13">
        <v>539.554</v>
      </c>
      <c r="L421" s="13">
        <v>688.91</v>
      </c>
      <c r="M421" s="13">
        <v>3915.765</v>
      </c>
      <c r="N421" s="13">
        <v>1271.786</v>
      </c>
      <c r="O421" s="13">
        <v>2037.616</v>
      </c>
      <c r="P421" s="13">
        <v>9026.441</v>
      </c>
      <c r="Q421" s="49">
        <v>52830.076</v>
      </c>
      <c r="R421" s="13">
        <v>46317.969</v>
      </c>
      <c r="S421" s="13">
        <v>5220.15</v>
      </c>
      <c r="T421" s="13">
        <v>1291.957</v>
      </c>
      <c r="U421" s="49">
        <v>13431.122</v>
      </c>
      <c r="V421" s="49">
        <v>19407.812</v>
      </c>
      <c r="W421" s="13">
        <v>10103.503</v>
      </c>
      <c r="X421" s="13">
        <v>611.332</v>
      </c>
      <c r="Y421" s="13">
        <v>8692.977</v>
      </c>
      <c r="Z421" s="49">
        <v>42970.203</v>
      </c>
      <c r="AA421" s="49">
        <v>16262.685</v>
      </c>
      <c r="AB421" s="13">
        <v>1491.408</v>
      </c>
      <c r="AC421" s="13">
        <v>0.509</v>
      </c>
      <c r="AD421" s="13">
        <v>14595.558</v>
      </c>
      <c r="AE421" s="13">
        <v>175.21</v>
      </c>
      <c r="AF421" s="49">
        <v>77291.344</v>
      </c>
      <c r="AG421" s="49">
        <v>1408.481</v>
      </c>
      <c r="AH421" s="49">
        <v>60172.621</v>
      </c>
      <c r="AI421" s="49">
        <v>2500.755</v>
      </c>
      <c r="AJ421" s="49">
        <v>57979.904</v>
      </c>
      <c r="AK421" s="49">
        <v>420479.567</v>
      </c>
      <c r="AL421" s="49">
        <v>61187.649</v>
      </c>
      <c r="AM421" s="14">
        <v>878823.264</v>
      </c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</row>
    <row r="422" spans="1:72" ht="15">
      <c r="A422" s="22">
        <v>43982</v>
      </c>
      <c r="B422" s="49">
        <v>15610.702</v>
      </c>
      <c r="C422" s="13">
        <v>7844.923</v>
      </c>
      <c r="D422" s="13">
        <v>2732.967</v>
      </c>
      <c r="E422" s="13">
        <v>5032.812</v>
      </c>
      <c r="F422" s="49">
        <v>989.948</v>
      </c>
      <c r="G422" s="49">
        <v>36384.29</v>
      </c>
      <c r="H422" s="13">
        <v>3154.359</v>
      </c>
      <c r="I422" s="13">
        <v>14811.716</v>
      </c>
      <c r="J422" s="13">
        <v>965.194</v>
      </c>
      <c r="K422" s="13">
        <v>536.462</v>
      </c>
      <c r="L422" s="13">
        <v>543.532</v>
      </c>
      <c r="M422" s="13">
        <v>3932.408</v>
      </c>
      <c r="N422" s="13">
        <v>1337.416</v>
      </c>
      <c r="O422" s="13">
        <v>2010.912</v>
      </c>
      <c r="P422" s="13">
        <v>9092.291</v>
      </c>
      <c r="Q422" s="49">
        <v>53008.036</v>
      </c>
      <c r="R422" s="13">
        <v>46443.248</v>
      </c>
      <c r="S422" s="13">
        <v>5278.363</v>
      </c>
      <c r="T422" s="13">
        <v>1286.425</v>
      </c>
      <c r="U422" s="49">
        <v>13733.601</v>
      </c>
      <c r="V422" s="49">
        <v>19584.18</v>
      </c>
      <c r="W422" s="13">
        <v>10367.97</v>
      </c>
      <c r="X422" s="13">
        <v>472.092</v>
      </c>
      <c r="Y422" s="13">
        <v>8744.118</v>
      </c>
      <c r="Z422" s="49">
        <v>43443.792</v>
      </c>
      <c r="AA422" s="49">
        <v>17111.898</v>
      </c>
      <c r="AB422" s="13">
        <v>1419.443</v>
      </c>
      <c r="AC422" s="13">
        <v>0</v>
      </c>
      <c r="AD422" s="13">
        <v>15517.799</v>
      </c>
      <c r="AE422" s="13">
        <v>174.656</v>
      </c>
      <c r="AF422" s="49">
        <v>79258.501</v>
      </c>
      <c r="AG422" s="49">
        <v>1457.162</v>
      </c>
      <c r="AH422" s="49">
        <v>60993.288</v>
      </c>
      <c r="AI422" s="49">
        <v>2426.197</v>
      </c>
      <c r="AJ422" s="49">
        <v>58764.472</v>
      </c>
      <c r="AK422" s="49">
        <v>420624.7</v>
      </c>
      <c r="AL422" s="49">
        <v>61214.308</v>
      </c>
      <c r="AM422" s="14">
        <v>884605.075</v>
      </c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</row>
    <row r="423" spans="1:72" ht="15">
      <c r="A423" s="22">
        <v>44012</v>
      </c>
      <c r="B423" s="49">
        <v>16076.809</v>
      </c>
      <c r="C423" s="13">
        <v>8509.298</v>
      </c>
      <c r="D423" s="13">
        <v>2651.886</v>
      </c>
      <c r="E423" s="13">
        <v>4915.625</v>
      </c>
      <c r="F423" s="49">
        <v>1112.202</v>
      </c>
      <c r="G423" s="49">
        <v>36485.496</v>
      </c>
      <c r="H423" s="13">
        <v>3112.181</v>
      </c>
      <c r="I423" s="13">
        <v>14769.37</v>
      </c>
      <c r="J423" s="13">
        <v>979.033</v>
      </c>
      <c r="K423" s="13">
        <v>527.799</v>
      </c>
      <c r="L423" s="13">
        <v>533.057</v>
      </c>
      <c r="M423" s="13">
        <v>3833.318</v>
      </c>
      <c r="N423" s="13">
        <v>1347.431</v>
      </c>
      <c r="O423" s="13">
        <v>2029.124</v>
      </c>
      <c r="P423" s="13">
        <v>9354.183</v>
      </c>
      <c r="Q423" s="49">
        <v>52284.531</v>
      </c>
      <c r="R423" s="13">
        <v>46603.528</v>
      </c>
      <c r="S423" s="13">
        <v>4403.164</v>
      </c>
      <c r="T423" s="13">
        <v>1277.839</v>
      </c>
      <c r="U423" s="49">
        <v>13406.598</v>
      </c>
      <c r="V423" s="49">
        <v>19627.633</v>
      </c>
      <c r="W423" s="13">
        <v>10455.069</v>
      </c>
      <c r="X423" s="13">
        <v>384.978</v>
      </c>
      <c r="Y423" s="13">
        <v>8787.586</v>
      </c>
      <c r="Z423" s="49">
        <v>42323.384</v>
      </c>
      <c r="AA423" s="49">
        <v>15972.971</v>
      </c>
      <c r="AB423" s="13">
        <v>1498.817</v>
      </c>
      <c r="AC423" s="13">
        <v>0</v>
      </c>
      <c r="AD423" s="13">
        <v>14309.33</v>
      </c>
      <c r="AE423" s="13">
        <v>164.824</v>
      </c>
      <c r="AF423" s="49">
        <v>79680.93</v>
      </c>
      <c r="AG423" s="49">
        <v>1431.876</v>
      </c>
      <c r="AH423" s="49">
        <v>60521.74</v>
      </c>
      <c r="AI423" s="49">
        <v>2461.731</v>
      </c>
      <c r="AJ423" s="49">
        <v>58587.816</v>
      </c>
      <c r="AK423" s="49">
        <v>423130.642</v>
      </c>
      <c r="AL423" s="49">
        <v>59750.444</v>
      </c>
      <c r="AM423" s="14">
        <v>882854.803</v>
      </c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</row>
    <row r="424" spans="1:72" ht="15">
      <c r="A424" s="22">
        <v>44043</v>
      </c>
      <c r="B424" s="49">
        <v>17058.053</v>
      </c>
      <c r="C424" s="13">
        <v>8426.514</v>
      </c>
      <c r="D424" s="13">
        <v>3715.914</v>
      </c>
      <c r="E424" s="13">
        <v>4915.625</v>
      </c>
      <c r="F424" s="49">
        <v>1119.768</v>
      </c>
      <c r="G424" s="49">
        <v>36715.581</v>
      </c>
      <c r="H424" s="13">
        <v>2979.992</v>
      </c>
      <c r="I424" s="13">
        <v>15117.401</v>
      </c>
      <c r="J424" s="13">
        <v>998.823</v>
      </c>
      <c r="K424" s="13">
        <v>517.321</v>
      </c>
      <c r="L424" s="13">
        <v>566.404</v>
      </c>
      <c r="M424" s="13">
        <v>3439.078</v>
      </c>
      <c r="N424" s="13">
        <v>1460.77</v>
      </c>
      <c r="O424" s="13">
        <v>2017.64</v>
      </c>
      <c r="P424" s="13">
        <v>9618.152</v>
      </c>
      <c r="Q424" s="49">
        <v>51218.219</v>
      </c>
      <c r="R424" s="13">
        <v>45840.347</v>
      </c>
      <c r="S424" s="13">
        <v>4079.221</v>
      </c>
      <c r="T424" s="13">
        <v>1298.651</v>
      </c>
      <c r="U424" s="49">
        <v>13591.725</v>
      </c>
      <c r="V424" s="49">
        <v>19795.478</v>
      </c>
      <c r="W424" s="13">
        <v>10548.956</v>
      </c>
      <c r="X424" s="13">
        <v>414.066</v>
      </c>
      <c r="Y424" s="13">
        <v>8832.456</v>
      </c>
      <c r="Z424" s="49">
        <v>43523.076</v>
      </c>
      <c r="AA424" s="49">
        <v>17980.146</v>
      </c>
      <c r="AB424" s="13">
        <v>1534.003</v>
      </c>
      <c r="AC424" s="13">
        <v>0</v>
      </c>
      <c r="AD424" s="13">
        <v>16275.457</v>
      </c>
      <c r="AE424" s="13">
        <v>170.686</v>
      </c>
      <c r="AF424" s="49">
        <v>79397.193</v>
      </c>
      <c r="AG424" s="49">
        <v>1316.859</v>
      </c>
      <c r="AH424" s="49">
        <v>63796.18</v>
      </c>
      <c r="AI424" s="49">
        <v>2536.86</v>
      </c>
      <c r="AJ424" s="49">
        <v>60129.219</v>
      </c>
      <c r="AK424" s="49">
        <v>428660.757</v>
      </c>
      <c r="AL424" s="49">
        <v>61738.834</v>
      </c>
      <c r="AM424" s="14">
        <v>898577.948</v>
      </c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</row>
    <row r="425" spans="1:72" ht="15">
      <c r="A425" s="22">
        <v>44074</v>
      </c>
      <c r="B425" s="49">
        <v>16884.216</v>
      </c>
      <c r="C425" s="13">
        <v>8340.116</v>
      </c>
      <c r="D425" s="13">
        <v>3628.475</v>
      </c>
      <c r="E425" s="13">
        <v>4915.625</v>
      </c>
      <c r="F425" s="49">
        <v>1177.9</v>
      </c>
      <c r="G425" s="49">
        <v>36732.276</v>
      </c>
      <c r="H425" s="13">
        <v>3062.247</v>
      </c>
      <c r="I425" s="13">
        <v>14847.76</v>
      </c>
      <c r="J425" s="13">
        <v>983.627</v>
      </c>
      <c r="K425" s="13">
        <v>513.143</v>
      </c>
      <c r="L425" s="13">
        <v>559.261</v>
      </c>
      <c r="M425" s="13">
        <v>3452.925</v>
      </c>
      <c r="N425" s="13">
        <v>1469.189</v>
      </c>
      <c r="O425" s="13">
        <v>2068.177</v>
      </c>
      <c r="P425" s="13">
        <v>9775.947</v>
      </c>
      <c r="Q425" s="49">
        <v>51299.691</v>
      </c>
      <c r="R425" s="13">
        <v>45984.084</v>
      </c>
      <c r="S425" s="13">
        <v>4019.856</v>
      </c>
      <c r="T425" s="13">
        <v>1295.751</v>
      </c>
      <c r="U425" s="49">
        <v>13928.963</v>
      </c>
      <c r="V425" s="49">
        <v>20376.538</v>
      </c>
      <c r="W425" s="13">
        <v>11152.9</v>
      </c>
      <c r="X425" s="13">
        <v>355.21</v>
      </c>
      <c r="Y425" s="13">
        <v>8868.428</v>
      </c>
      <c r="Z425" s="49">
        <v>43501.706</v>
      </c>
      <c r="AA425" s="49">
        <v>18619.977</v>
      </c>
      <c r="AB425" s="13">
        <v>3125.979</v>
      </c>
      <c r="AC425" s="13">
        <v>0</v>
      </c>
      <c r="AD425" s="13">
        <v>15324.902</v>
      </c>
      <c r="AE425" s="13">
        <v>169.096</v>
      </c>
      <c r="AF425" s="49">
        <v>80074.851</v>
      </c>
      <c r="AG425" s="49">
        <v>1578.17</v>
      </c>
      <c r="AH425" s="49">
        <v>65222.303</v>
      </c>
      <c r="AI425" s="49">
        <v>2545.585</v>
      </c>
      <c r="AJ425" s="49">
        <v>62712.263</v>
      </c>
      <c r="AK425" s="49">
        <v>430927.692</v>
      </c>
      <c r="AL425" s="49">
        <v>61772.555</v>
      </c>
      <c r="AM425" s="14">
        <v>907354.686</v>
      </c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</row>
    <row r="426" spans="1:72" ht="15">
      <c r="A426" s="22">
        <v>44104</v>
      </c>
      <c r="B426" s="49">
        <v>16626.761</v>
      </c>
      <c r="C426" s="13">
        <v>8270.429</v>
      </c>
      <c r="D426" s="13">
        <v>3557.894</v>
      </c>
      <c r="E426" s="13">
        <v>4798.438</v>
      </c>
      <c r="F426" s="49">
        <v>1142.113</v>
      </c>
      <c r="G426" s="49">
        <v>37309.975</v>
      </c>
      <c r="H426" s="13">
        <v>3027.415</v>
      </c>
      <c r="I426" s="13">
        <v>14895.576</v>
      </c>
      <c r="J426" s="13">
        <v>1054.915</v>
      </c>
      <c r="K426" s="13">
        <v>527.508</v>
      </c>
      <c r="L426" s="13">
        <v>556.866</v>
      </c>
      <c r="M426" s="13">
        <v>3301.223</v>
      </c>
      <c r="N426" s="13">
        <v>1466.696</v>
      </c>
      <c r="O426" s="13">
        <v>2066.758</v>
      </c>
      <c r="P426" s="13">
        <v>10413.018</v>
      </c>
      <c r="Q426" s="49">
        <v>49043.156</v>
      </c>
      <c r="R426" s="13">
        <v>44106.406</v>
      </c>
      <c r="S426" s="13">
        <v>3650.363</v>
      </c>
      <c r="T426" s="13">
        <v>1286.387</v>
      </c>
      <c r="U426" s="49">
        <v>14706.272</v>
      </c>
      <c r="V426" s="49">
        <v>24639.541</v>
      </c>
      <c r="W426" s="13">
        <v>15220.182</v>
      </c>
      <c r="X426" s="13">
        <v>416.214</v>
      </c>
      <c r="Y426" s="13">
        <v>9003.145</v>
      </c>
      <c r="Z426" s="49">
        <v>42198.928</v>
      </c>
      <c r="AA426" s="49">
        <v>12528.708</v>
      </c>
      <c r="AB426" s="13">
        <v>1591.362</v>
      </c>
      <c r="AC426" s="13">
        <v>0</v>
      </c>
      <c r="AD426" s="13">
        <v>10780.582</v>
      </c>
      <c r="AE426" s="13">
        <v>156.764</v>
      </c>
      <c r="AF426" s="49">
        <v>80261.579</v>
      </c>
      <c r="AG426" s="49">
        <v>1596.294</v>
      </c>
      <c r="AH426" s="49">
        <v>64323.408</v>
      </c>
      <c r="AI426" s="49">
        <v>2569.629</v>
      </c>
      <c r="AJ426" s="49">
        <v>62977.856</v>
      </c>
      <c r="AK426" s="49">
        <v>434746.51</v>
      </c>
      <c r="AL426" s="49">
        <v>64529.281</v>
      </c>
      <c r="AM426" s="14">
        <v>909200.011</v>
      </c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</row>
    <row r="427" spans="1:72" ht="15">
      <c r="A427" s="22">
        <v>44135</v>
      </c>
      <c r="B427" s="49">
        <v>16659.305</v>
      </c>
      <c r="C427" s="13">
        <v>8263.08</v>
      </c>
      <c r="D427" s="13">
        <v>3597.787</v>
      </c>
      <c r="E427" s="13">
        <v>4798.438</v>
      </c>
      <c r="F427" s="49">
        <v>1149.488</v>
      </c>
      <c r="G427" s="49">
        <v>38115.479</v>
      </c>
      <c r="H427" s="13">
        <v>3037.771</v>
      </c>
      <c r="I427" s="13">
        <v>14867.29</v>
      </c>
      <c r="J427" s="13">
        <v>1055.802</v>
      </c>
      <c r="K427" s="13">
        <v>515.918</v>
      </c>
      <c r="L427" s="13">
        <v>543.58</v>
      </c>
      <c r="M427" s="13">
        <v>3371.891</v>
      </c>
      <c r="N427" s="13">
        <v>1416.67</v>
      </c>
      <c r="O427" s="13">
        <v>1974.344</v>
      </c>
      <c r="P427" s="13">
        <v>11332.213</v>
      </c>
      <c r="Q427" s="49">
        <v>50036.101</v>
      </c>
      <c r="R427" s="13">
        <v>44962.939</v>
      </c>
      <c r="S427" s="13">
        <v>3755.914</v>
      </c>
      <c r="T427" s="13">
        <v>1317.248</v>
      </c>
      <c r="U427" s="49">
        <v>14424.033</v>
      </c>
      <c r="V427" s="49">
        <v>24660.093</v>
      </c>
      <c r="W427" s="13">
        <v>15260.551</v>
      </c>
      <c r="X427" s="13">
        <v>429.506</v>
      </c>
      <c r="Y427" s="13">
        <v>8970.036</v>
      </c>
      <c r="Z427" s="49">
        <v>43055.277</v>
      </c>
      <c r="AA427" s="49">
        <v>15314.935</v>
      </c>
      <c r="AB427" s="13">
        <v>901.709</v>
      </c>
      <c r="AC427" s="13">
        <v>0</v>
      </c>
      <c r="AD427" s="13">
        <v>14255.792</v>
      </c>
      <c r="AE427" s="13">
        <v>157.434</v>
      </c>
      <c r="AF427" s="49">
        <v>79055.672</v>
      </c>
      <c r="AG427" s="49">
        <v>1642.91</v>
      </c>
      <c r="AH427" s="49">
        <v>65718.96</v>
      </c>
      <c r="AI427" s="49">
        <v>2605.748</v>
      </c>
      <c r="AJ427" s="49">
        <v>63198.813</v>
      </c>
      <c r="AK427" s="49">
        <v>438119.775</v>
      </c>
      <c r="AL427" s="49">
        <v>64569.183</v>
      </c>
      <c r="AM427" s="14">
        <v>918325.772</v>
      </c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</row>
    <row r="428" spans="1:72" ht="15">
      <c r="A428" s="22">
        <v>44165</v>
      </c>
      <c r="B428" s="49">
        <v>16633.647</v>
      </c>
      <c r="C428" s="13">
        <v>8249.116</v>
      </c>
      <c r="D428" s="13">
        <v>3586.093</v>
      </c>
      <c r="E428" s="13">
        <v>4798.438</v>
      </c>
      <c r="F428" s="49">
        <v>1115.439</v>
      </c>
      <c r="G428" s="49">
        <v>38166.152</v>
      </c>
      <c r="H428" s="13">
        <v>3010.843</v>
      </c>
      <c r="I428" s="13">
        <v>14764.812</v>
      </c>
      <c r="J428" s="13">
        <v>1034.962</v>
      </c>
      <c r="K428" s="13">
        <v>535.549</v>
      </c>
      <c r="L428" s="13">
        <v>543.222</v>
      </c>
      <c r="M428" s="13">
        <v>3384.85</v>
      </c>
      <c r="N428" s="13">
        <v>1425.336</v>
      </c>
      <c r="O428" s="13">
        <v>1959.749</v>
      </c>
      <c r="P428" s="13">
        <v>11506.829</v>
      </c>
      <c r="Q428" s="49">
        <v>49588.535</v>
      </c>
      <c r="R428" s="13">
        <v>44689.146</v>
      </c>
      <c r="S428" s="13">
        <v>3610.812</v>
      </c>
      <c r="T428" s="13">
        <v>1288.577</v>
      </c>
      <c r="U428" s="49">
        <v>14644.701</v>
      </c>
      <c r="V428" s="49">
        <v>24501.676</v>
      </c>
      <c r="W428" s="13">
        <v>15052.631</v>
      </c>
      <c r="X428" s="13">
        <v>429.155</v>
      </c>
      <c r="Y428" s="13">
        <v>9019.89</v>
      </c>
      <c r="Z428" s="49">
        <v>42171.586</v>
      </c>
      <c r="AA428" s="49">
        <v>15398.093</v>
      </c>
      <c r="AB428" s="13">
        <v>1126.491</v>
      </c>
      <c r="AC428" s="13">
        <v>0</v>
      </c>
      <c r="AD428" s="13">
        <v>14113.537</v>
      </c>
      <c r="AE428" s="13">
        <v>158.065</v>
      </c>
      <c r="AF428" s="49">
        <v>78707.858</v>
      </c>
      <c r="AG428" s="49">
        <v>1610.476</v>
      </c>
      <c r="AH428" s="49">
        <v>66603.938</v>
      </c>
      <c r="AI428" s="49">
        <v>2665.659</v>
      </c>
      <c r="AJ428" s="49">
        <v>63851.691</v>
      </c>
      <c r="AK428" s="49">
        <v>441696.325</v>
      </c>
      <c r="AL428" s="49">
        <v>64260.214</v>
      </c>
      <c r="AM428" s="14">
        <v>921615.99</v>
      </c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</row>
    <row r="429" spans="1:72" ht="15">
      <c r="A429" s="22">
        <v>44196</v>
      </c>
      <c r="B429" s="49">
        <v>16317.525</v>
      </c>
      <c r="C429" s="13">
        <v>8088.059</v>
      </c>
      <c r="D429" s="13">
        <v>3548.216</v>
      </c>
      <c r="E429" s="13">
        <v>4681.25</v>
      </c>
      <c r="F429" s="49">
        <v>1073.162</v>
      </c>
      <c r="G429" s="49">
        <v>37845.604</v>
      </c>
      <c r="H429" s="13">
        <v>3327.968</v>
      </c>
      <c r="I429" s="13">
        <v>14311.631</v>
      </c>
      <c r="J429" s="13">
        <v>1023.732</v>
      </c>
      <c r="K429" s="13">
        <v>504.229</v>
      </c>
      <c r="L429" s="13">
        <v>572.828</v>
      </c>
      <c r="M429" s="13">
        <v>3299.677</v>
      </c>
      <c r="N429" s="13">
        <v>1457.545</v>
      </c>
      <c r="O429" s="13">
        <v>1926.31</v>
      </c>
      <c r="P429" s="13">
        <v>11421.684</v>
      </c>
      <c r="Q429" s="49">
        <v>50119.355</v>
      </c>
      <c r="R429" s="13">
        <v>45121.025</v>
      </c>
      <c r="S429" s="13">
        <v>3726.808</v>
      </c>
      <c r="T429" s="13">
        <v>1271.522</v>
      </c>
      <c r="U429" s="49">
        <v>15109.474</v>
      </c>
      <c r="V429" s="49">
        <v>24225.542</v>
      </c>
      <c r="W429" s="13">
        <v>14885.046</v>
      </c>
      <c r="X429" s="13">
        <v>398.319</v>
      </c>
      <c r="Y429" s="13">
        <v>8942.177</v>
      </c>
      <c r="Z429" s="49">
        <v>47228.338</v>
      </c>
      <c r="AA429" s="49">
        <v>14073.068</v>
      </c>
      <c r="AB429" s="13">
        <v>1058.915</v>
      </c>
      <c r="AC429" s="13">
        <v>0</v>
      </c>
      <c r="AD429" s="13">
        <v>12967.035</v>
      </c>
      <c r="AE429" s="13">
        <v>47.118</v>
      </c>
      <c r="AF429" s="49">
        <v>81394.803</v>
      </c>
      <c r="AG429" s="49">
        <v>1584.121</v>
      </c>
      <c r="AH429" s="49">
        <v>65306.893</v>
      </c>
      <c r="AI429" s="49">
        <v>2494.169</v>
      </c>
      <c r="AJ429" s="49">
        <v>64240.819</v>
      </c>
      <c r="AK429" s="49">
        <v>444060.233</v>
      </c>
      <c r="AL429" s="49">
        <v>63428.2</v>
      </c>
      <c r="AM429" s="14">
        <v>928501.306</v>
      </c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</row>
    <row r="430" spans="1:72" ht="15">
      <c r="A430" s="22">
        <v>44227</v>
      </c>
      <c r="B430" s="49">
        <v>16432.267</v>
      </c>
      <c r="C430" s="13">
        <v>8133.927</v>
      </c>
      <c r="D430" s="13">
        <v>3617.087</v>
      </c>
      <c r="E430" s="13">
        <v>4681.253</v>
      </c>
      <c r="F430" s="49">
        <v>791.523</v>
      </c>
      <c r="G430" s="49">
        <v>37834.18</v>
      </c>
      <c r="H430" s="13">
        <v>3400.498</v>
      </c>
      <c r="I430" s="13">
        <v>14498.196</v>
      </c>
      <c r="J430" s="13">
        <v>1014.988</v>
      </c>
      <c r="K430" s="13">
        <v>499.692</v>
      </c>
      <c r="L430" s="13">
        <v>542.727</v>
      </c>
      <c r="M430" s="13">
        <v>3432.475</v>
      </c>
      <c r="N430" s="13">
        <v>1494.034</v>
      </c>
      <c r="O430" s="13">
        <v>1906.393</v>
      </c>
      <c r="P430" s="13">
        <v>11045.177</v>
      </c>
      <c r="Q430" s="49">
        <v>49285.848</v>
      </c>
      <c r="R430" s="13">
        <v>44388.637</v>
      </c>
      <c r="S430" s="13">
        <v>3633.678</v>
      </c>
      <c r="T430" s="13">
        <v>1263.533</v>
      </c>
      <c r="U430" s="49">
        <v>14087.815</v>
      </c>
      <c r="V430" s="49">
        <v>24438.644</v>
      </c>
      <c r="W430" s="13">
        <v>15094.453</v>
      </c>
      <c r="X430" s="13">
        <v>410.081</v>
      </c>
      <c r="Y430" s="13">
        <v>8934.11</v>
      </c>
      <c r="Z430" s="49">
        <v>48060.234</v>
      </c>
      <c r="AA430" s="49">
        <v>14182.256</v>
      </c>
      <c r="AB430" s="13">
        <v>820.561</v>
      </c>
      <c r="AC430" s="13">
        <v>0</v>
      </c>
      <c r="AD430" s="13">
        <v>13312.954</v>
      </c>
      <c r="AE430" s="13">
        <v>48.741</v>
      </c>
      <c r="AF430" s="49">
        <v>81358.977</v>
      </c>
      <c r="AG430" s="49">
        <v>1591.174</v>
      </c>
      <c r="AH430" s="49">
        <v>68081.356</v>
      </c>
      <c r="AI430" s="49">
        <v>2472.338</v>
      </c>
      <c r="AJ430" s="49">
        <v>66446.56</v>
      </c>
      <c r="AK430" s="49">
        <v>447992.28</v>
      </c>
      <c r="AL430" s="49">
        <v>65031.149</v>
      </c>
      <c r="AM430" s="14">
        <v>938086.601</v>
      </c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</row>
    <row r="431" spans="1:72" ht="15">
      <c r="A431" s="22">
        <v>44255</v>
      </c>
      <c r="B431" s="49">
        <v>16651.677</v>
      </c>
      <c r="C431" s="13">
        <v>8336.976</v>
      </c>
      <c r="D431" s="13">
        <v>3633.447</v>
      </c>
      <c r="E431" s="13">
        <v>4681.254</v>
      </c>
      <c r="F431" s="49">
        <v>759.145</v>
      </c>
      <c r="G431" s="49">
        <v>37999.179</v>
      </c>
      <c r="H431" s="13">
        <v>3406.579</v>
      </c>
      <c r="I431" s="13">
        <v>14767.589</v>
      </c>
      <c r="J431" s="13">
        <v>1010.54</v>
      </c>
      <c r="K431" s="13">
        <v>499.733</v>
      </c>
      <c r="L431" s="13">
        <v>532.261</v>
      </c>
      <c r="M431" s="13">
        <v>3487.381</v>
      </c>
      <c r="N431" s="13">
        <v>1431.481</v>
      </c>
      <c r="O431" s="13">
        <v>1912.357</v>
      </c>
      <c r="P431" s="13">
        <v>10951.258</v>
      </c>
      <c r="Q431" s="49">
        <v>48592.578</v>
      </c>
      <c r="R431" s="13">
        <v>43750.754</v>
      </c>
      <c r="S431" s="13">
        <v>3573.95</v>
      </c>
      <c r="T431" s="13">
        <v>1267.874</v>
      </c>
      <c r="U431" s="49">
        <v>14466.257</v>
      </c>
      <c r="V431" s="49">
        <v>24922.229</v>
      </c>
      <c r="W431" s="13">
        <v>15208.206</v>
      </c>
      <c r="X431" s="13">
        <v>455.756</v>
      </c>
      <c r="Y431" s="13">
        <v>9258.267</v>
      </c>
      <c r="Z431" s="49">
        <v>48318.529</v>
      </c>
      <c r="AA431" s="49">
        <v>15744.29</v>
      </c>
      <c r="AB431" s="13">
        <v>976.946</v>
      </c>
      <c r="AC431" s="13">
        <v>0</v>
      </c>
      <c r="AD431" s="13">
        <v>14707.836</v>
      </c>
      <c r="AE431" s="13">
        <v>59.508</v>
      </c>
      <c r="AF431" s="49">
        <v>83720.394</v>
      </c>
      <c r="AG431" s="49">
        <v>1575.15</v>
      </c>
      <c r="AH431" s="49">
        <v>68258.279</v>
      </c>
      <c r="AI431" s="49">
        <v>2484.013</v>
      </c>
      <c r="AJ431" s="49">
        <v>67739.065</v>
      </c>
      <c r="AK431" s="49">
        <v>449454.004</v>
      </c>
      <c r="AL431" s="49">
        <v>67312.33</v>
      </c>
      <c r="AM431" s="14">
        <v>947997.119</v>
      </c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</row>
    <row r="432" spans="1:72" ht="15">
      <c r="A432" s="22">
        <v>44286</v>
      </c>
      <c r="B432" s="49">
        <v>16645.166</v>
      </c>
      <c r="C432" s="13">
        <v>8485.736</v>
      </c>
      <c r="D432" s="13">
        <v>3595.363</v>
      </c>
      <c r="E432" s="13">
        <v>4564.067</v>
      </c>
      <c r="F432" s="49">
        <v>800.643</v>
      </c>
      <c r="G432" s="49">
        <v>35436.265</v>
      </c>
      <c r="H432" s="13">
        <v>2081.821</v>
      </c>
      <c r="I432" s="13">
        <v>13760.832</v>
      </c>
      <c r="J432" s="13">
        <v>994.374</v>
      </c>
      <c r="K432" s="13">
        <v>509.576</v>
      </c>
      <c r="L432" s="13">
        <v>458.997</v>
      </c>
      <c r="M432" s="13">
        <v>3345.871</v>
      </c>
      <c r="N432" s="13">
        <v>1461.942</v>
      </c>
      <c r="O432" s="13">
        <v>1894.128</v>
      </c>
      <c r="P432" s="13">
        <v>10928.724</v>
      </c>
      <c r="Q432" s="49">
        <v>47823.193</v>
      </c>
      <c r="R432" s="13">
        <v>42873.094</v>
      </c>
      <c r="S432" s="13">
        <v>3637.875</v>
      </c>
      <c r="T432" s="13">
        <v>1312.224</v>
      </c>
      <c r="U432" s="49">
        <v>17659.235</v>
      </c>
      <c r="V432" s="49">
        <v>24196.346</v>
      </c>
      <c r="W432" s="13">
        <v>14766.296</v>
      </c>
      <c r="X432" s="13">
        <v>423.546</v>
      </c>
      <c r="Y432" s="13">
        <v>9006.504</v>
      </c>
      <c r="Z432" s="49">
        <v>46350.432</v>
      </c>
      <c r="AA432" s="49">
        <v>14986.683</v>
      </c>
      <c r="AB432" s="13">
        <v>1004.31</v>
      </c>
      <c r="AC432" s="13">
        <f>2/1000</f>
        <v>0.002</v>
      </c>
      <c r="AD432" s="13">
        <v>13933.12</v>
      </c>
      <c r="AE432" s="13">
        <v>49.251</v>
      </c>
      <c r="AF432" s="49">
        <v>85841.782</v>
      </c>
      <c r="AG432" s="49">
        <v>1485.909</v>
      </c>
      <c r="AH432" s="49">
        <v>65577.269</v>
      </c>
      <c r="AI432" s="49">
        <v>2398.991</v>
      </c>
      <c r="AJ432" s="49">
        <v>69029.138</v>
      </c>
      <c r="AK432" s="49">
        <v>448461.369</v>
      </c>
      <c r="AL432" s="49">
        <v>67851.48</v>
      </c>
      <c r="AM432" s="14">
        <v>944543.901</v>
      </c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</row>
    <row r="433" spans="1:72" ht="15">
      <c r="A433" s="22">
        <v>44316</v>
      </c>
      <c r="B433" s="49">
        <f aca="true" t="shared" si="42" ref="B433:B438">SUM(C433:E433)</f>
        <v>16094.445</v>
      </c>
      <c r="C433" s="13">
        <f>(SUM('[214]M13A_RESIDENTS'!$L$12:$L$18))/1000</f>
        <v>8307.056</v>
      </c>
      <c r="D433" s="13">
        <f>(SUM('[214]M13A_RESIDENTS'!$L$10:$L$11))/1000</f>
        <v>3223.321</v>
      </c>
      <c r="E433" s="13">
        <f>('[214]M13A_RESIDENTS'!$L$9)/1000</f>
        <v>4564.068</v>
      </c>
      <c r="F433" s="49">
        <f>(SUM('[214]M13A_RESIDENTS'!$L$28:$L$30))/1000</f>
        <v>1101.134</v>
      </c>
      <c r="G433" s="49">
        <f aca="true" t="shared" si="43" ref="G433:G438">SUM(H433:P433)</f>
        <v>36142.581</v>
      </c>
      <c r="H433" s="13">
        <f>('[214]M13A_RESIDENTS'!$L$25)/1000</f>
        <v>2324.5</v>
      </c>
      <c r="I433" s="13">
        <f>('[214]M13A_RESIDENTS'!$L$21)/1000</f>
        <v>13063.366</v>
      </c>
      <c r="J433" s="13">
        <f>('[214]M13A_RESIDENTS'!$L$24)/1000</f>
        <v>965.79</v>
      </c>
      <c r="K433" s="13">
        <f>('[214]M13A_RESIDENTS'!$L$26)/1000</f>
        <v>502.078</v>
      </c>
      <c r="L433" s="13">
        <f>('[214]M13A_RESIDENTS'!$L$22)/1000</f>
        <v>468.077</v>
      </c>
      <c r="M433" s="13">
        <f>('[214]M13A_RESIDENTS'!$L$23)/1000</f>
        <v>3506.119</v>
      </c>
      <c r="N433" s="13">
        <f>('[214]M13A_RESIDENTS'!$L$19)/1000</f>
        <v>1531.334</v>
      </c>
      <c r="O433" s="13">
        <f>('[214]M13A_RESIDENTS'!$L$20)/1000</f>
        <v>1988.89</v>
      </c>
      <c r="P433" s="13">
        <f>('[214]M13A_RESIDENTS'!$L$27)/1000</f>
        <v>11792.427</v>
      </c>
      <c r="Q433" s="49">
        <f aca="true" t="shared" si="44" ref="Q433:Q438">SUM(R433:T433)</f>
        <v>49714.668</v>
      </c>
      <c r="R433" s="13">
        <f>('[214]M13A_RESIDENTS'!$L$32)/1000</f>
        <v>44788.666</v>
      </c>
      <c r="S433" s="13">
        <f>('[214]M13A_RESIDENTS'!$L$31)/1000</f>
        <v>3603.886</v>
      </c>
      <c r="T433" s="13">
        <f>('[214]M13A_RESIDENTS'!$L$33)/1000</f>
        <v>1322.116</v>
      </c>
      <c r="U433" s="49">
        <f>('[214]M13A_RESIDENTS'!$L$8)/1000</f>
        <v>16960.379</v>
      </c>
      <c r="V433" s="49">
        <f aca="true" t="shared" si="45" ref="V433:V438">SUM(W433:Y433)</f>
        <v>25373.833000000002</v>
      </c>
      <c r="W433" s="13">
        <f>('[214]M13A_RESIDENTS'!$L$36)/1000</f>
        <v>16002.485</v>
      </c>
      <c r="X433" s="13">
        <f>('[214]M13A_RESIDENTS'!$L$35)/1000</f>
        <v>397.827</v>
      </c>
      <c r="Y433" s="13">
        <f>('[214]M13A_RESIDENTS'!$L$34)/1000</f>
        <v>8973.521</v>
      </c>
      <c r="Z433" s="49">
        <f>('[214]M13A_RESIDENTS'!$L$37)/1000</f>
        <v>48023.117</v>
      </c>
      <c r="AA433" s="49">
        <f aca="true" t="shared" si="46" ref="AA433:AA438">SUM(AB433:AE433)</f>
        <v>14715.292000000001</v>
      </c>
      <c r="AB433" s="13">
        <f>('[214]M13A_RESIDENTS'!$L$4)/1000</f>
        <v>816.32</v>
      </c>
      <c r="AC433" s="13">
        <f>('[214]M13A_RESIDENTS'!$L$5)/1000</f>
        <v>0.004</v>
      </c>
      <c r="AD433" s="13">
        <f>('[214]M13A_RESIDENTS'!$L$7)/1000</f>
        <v>13851.406</v>
      </c>
      <c r="AE433" s="13">
        <f>('[214]M13A_RESIDENTS'!$L$6)/1000</f>
        <v>47.562</v>
      </c>
      <c r="AF433" s="49">
        <f>('[214]M13A_RESIDENTS'!$L$38)/1000</f>
        <v>84173.244</v>
      </c>
      <c r="AG433" s="49">
        <f>('[214]M13A_RESIDENTS'!$L$45)/1000</f>
        <v>1304.394</v>
      </c>
      <c r="AH433" s="49">
        <f>('[214]M13A_RESIDENTS'!$L$46)/1000</f>
        <v>69265.742</v>
      </c>
      <c r="AI433" s="49">
        <f>('[214]M13A_RESIDENTS'!$L$39)/1000</f>
        <v>2438.89</v>
      </c>
      <c r="AJ433" s="49">
        <f>(SUM('[214]M13A_RESIDENTS'!$L$40:$L$43))/1000</f>
        <v>66765.505</v>
      </c>
      <c r="AK433" s="49">
        <f>('[214]M13A_RESIDENTS'!$L$44)/1000</f>
        <v>453578.586</v>
      </c>
      <c r="AL433" s="49">
        <f>('[214]SUMMARY'!$C$23)/1000</f>
        <v>78242.151</v>
      </c>
      <c r="AM433" s="14">
        <f aca="true" t="shared" si="47" ref="AM433:AM438">+B433+F433+G433+Q433+U433+V433+Z433+AA433+AF433+AH433+AI433+AJ433+AK433+AL433+AG433</f>
        <v>963893.961</v>
      </c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</row>
    <row r="434" spans="1:72" ht="15">
      <c r="A434" s="22">
        <v>44347</v>
      </c>
      <c r="B434" s="49">
        <f t="shared" si="42"/>
        <v>16024.992</v>
      </c>
      <c r="C434" s="13">
        <f>(SUM('[215]M13A_RESIDENTS'!$L$12:$L$18))/1000</f>
        <v>8296.082</v>
      </c>
      <c r="D434" s="13">
        <f>(SUM('[215]M13A_RESIDENTS'!$L$10:$L$11))/1000</f>
        <v>3164.848</v>
      </c>
      <c r="E434" s="13">
        <f>('[215]M13A_RESIDENTS'!$L$9)/1000</f>
        <v>4564.062</v>
      </c>
      <c r="F434" s="49">
        <f>(SUM('[215]M13A_RESIDENTS'!$L$28:$L$30))/1000</f>
        <v>1405.069</v>
      </c>
      <c r="G434" s="49">
        <f t="shared" si="43"/>
        <v>34921.186</v>
      </c>
      <c r="H434" s="13">
        <f>('[215]M13A_RESIDENTS'!$L$25)/1000</f>
        <v>2275.342</v>
      </c>
      <c r="I434" s="13">
        <f>('[215]M13A_RESIDENTS'!$L$21)/1000</f>
        <v>12699.432</v>
      </c>
      <c r="J434" s="13">
        <f>('[215]M13A_RESIDENTS'!$L$24)/1000</f>
        <v>918.536</v>
      </c>
      <c r="K434" s="13">
        <f>('[215]M13A_RESIDENTS'!$L$26)/1000</f>
        <v>519.396</v>
      </c>
      <c r="L434" s="13">
        <f>('[215]M13A_RESIDENTS'!$L$22)/1000</f>
        <v>455.651</v>
      </c>
      <c r="M434" s="13">
        <f>('[215]M13A_RESIDENTS'!$L$23)/1000</f>
        <v>3412.093</v>
      </c>
      <c r="N434" s="13">
        <f>('[215]M13A_RESIDENTS'!$L$19)/1000</f>
        <v>1422.451</v>
      </c>
      <c r="O434" s="13">
        <f>('[215]M13A_RESIDENTS'!$L$20)/1000</f>
        <v>1926.731</v>
      </c>
      <c r="P434" s="13">
        <f>('[215]M13A_RESIDENTS'!$L$27)/1000</f>
        <v>11291.554</v>
      </c>
      <c r="Q434" s="49">
        <f t="shared" si="44"/>
        <v>48534.948</v>
      </c>
      <c r="R434" s="13">
        <f>('[215]M13A_RESIDENTS'!$L$32)/1000</f>
        <v>43681.412</v>
      </c>
      <c r="S434" s="13">
        <f>('[215]M13A_RESIDENTS'!$L$31)/1000</f>
        <v>3540.079</v>
      </c>
      <c r="T434" s="13">
        <f>('[215]M13A_RESIDENTS'!$L$33)/1000</f>
        <v>1313.457</v>
      </c>
      <c r="U434" s="49">
        <f>('[215]M13A_RESIDENTS'!$L$8)/1000</f>
        <v>17423.428</v>
      </c>
      <c r="V434" s="49">
        <f t="shared" si="45"/>
        <v>24883.382</v>
      </c>
      <c r="W434" s="13">
        <f>('[215]M13A_RESIDENTS'!$L$36)/1000</f>
        <v>15537.575</v>
      </c>
      <c r="X434" s="13">
        <f>('[215]M13A_RESIDENTS'!$L$35)/1000</f>
        <v>398.449</v>
      </c>
      <c r="Y434" s="13">
        <f>('[215]M13A_RESIDENTS'!$L$34)/1000</f>
        <v>8947.358</v>
      </c>
      <c r="Z434" s="49">
        <f>('[215]M13A_RESIDENTS'!$L$37)/1000</f>
        <v>46904.75</v>
      </c>
      <c r="AA434" s="49">
        <f t="shared" si="46"/>
        <v>14502.293</v>
      </c>
      <c r="AB434" s="13">
        <f>('[215]M13A_RESIDENTS'!$L$4)/1000</f>
        <v>980.275</v>
      </c>
      <c r="AC434" s="13">
        <f>('[215]M13A_RESIDENTS'!$L$5)/1000</f>
        <v>0.006</v>
      </c>
      <c r="AD434" s="13">
        <f>('[215]M13A_RESIDENTS'!$L$7)/1000</f>
        <v>13483.679</v>
      </c>
      <c r="AE434" s="13">
        <f>('[215]M13A_RESIDENTS'!$L$6)/1000</f>
        <v>38.333</v>
      </c>
      <c r="AF434" s="49">
        <f>('[215]M13A_RESIDENTS'!$L$38)/1000</f>
        <v>85153.596</v>
      </c>
      <c r="AG434" s="49">
        <f>('[215]M13A_RESIDENTS'!$L$45)/1000</f>
        <v>1385.102</v>
      </c>
      <c r="AH434" s="49">
        <f>('[215]M13A_RESIDENTS'!$L$46)/1000</f>
        <v>67870.279</v>
      </c>
      <c r="AI434" s="49">
        <f>('[215]M13A_RESIDENTS'!$L$39)/1000</f>
        <v>2410.108</v>
      </c>
      <c r="AJ434" s="49">
        <f>(SUM('[215]M13A_RESIDENTS'!$L$40:$L$43))/1000</f>
        <v>67267.662</v>
      </c>
      <c r="AK434" s="49">
        <f>('[215]M13A_RESIDENTS'!$L$44)/1000</f>
        <v>458014.163</v>
      </c>
      <c r="AL434" s="49">
        <f>('[215]SUMMARY'!$C$23)/1000</f>
        <v>79296.406</v>
      </c>
      <c r="AM434" s="14">
        <f t="shared" si="47"/>
        <v>965997.364</v>
      </c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</row>
    <row r="435" spans="1:72" ht="15">
      <c r="A435" s="22">
        <v>44377</v>
      </c>
      <c r="B435" s="49">
        <f t="shared" si="42"/>
        <v>15693.806</v>
      </c>
      <c r="C435" s="13">
        <f>(SUM('[216]M13A_RESIDENTS'!$L$12:$L$18))/1000</f>
        <v>8128.114</v>
      </c>
      <c r="D435" s="13">
        <f>(SUM('[216]M13A_RESIDENTS'!$L$10:$L$11))/1000</f>
        <v>3118.817</v>
      </c>
      <c r="E435" s="13">
        <f>('[216]M13A_RESIDENTS'!$L$9)/1000</f>
        <v>4446.875</v>
      </c>
      <c r="F435" s="49">
        <f>(SUM('[216]M13A_RESIDENTS'!$L$28:$L$30))/1000</f>
        <v>1336.91</v>
      </c>
      <c r="G435" s="49">
        <f t="shared" si="43"/>
        <v>37168.403999999995</v>
      </c>
      <c r="H435" s="13">
        <f>('[216]M13A_RESIDENTS'!$L$25)/1000</f>
        <v>2265.246</v>
      </c>
      <c r="I435" s="13">
        <f>('[216]M13A_RESIDENTS'!$L$21)/1000</f>
        <v>13896.359</v>
      </c>
      <c r="J435" s="13">
        <f>('[216]M13A_RESIDENTS'!$L$24)/1000</f>
        <v>952.787</v>
      </c>
      <c r="K435" s="13">
        <f>('[216]M13A_RESIDENTS'!$L$26)/1000</f>
        <v>609.379</v>
      </c>
      <c r="L435" s="13">
        <f>('[216]M13A_RESIDENTS'!$L$22)/1000</f>
        <v>482.009</v>
      </c>
      <c r="M435" s="13">
        <f>('[216]M13A_RESIDENTS'!$L$23)/1000</f>
        <v>3393.6</v>
      </c>
      <c r="N435" s="13">
        <f>('[216]M13A_RESIDENTS'!$L$19)/1000</f>
        <v>1493.476</v>
      </c>
      <c r="O435" s="13">
        <f>('[216]M13A_RESIDENTS'!$L$20)/1000</f>
        <v>1951.878</v>
      </c>
      <c r="P435" s="13">
        <f>('[216]M13A_RESIDENTS'!$L$27)/1000</f>
        <v>12123.67</v>
      </c>
      <c r="Q435" s="49">
        <f t="shared" si="44"/>
        <v>48161.797999999995</v>
      </c>
      <c r="R435" s="13">
        <f>('[216]M13A_RESIDENTS'!$L$32)/1000</f>
        <v>43093.996</v>
      </c>
      <c r="S435" s="13">
        <f>('[216]M13A_RESIDENTS'!$L$31)/1000</f>
        <v>3752.78</v>
      </c>
      <c r="T435" s="13">
        <f>('[216]M13A_RESIDENTS'!$L$33)/1000</f>
        <v>1315.022</v>
      </c>
      <c r="U435" s="49">
        <f>('[216]M13A_RESIDENTS'!$L$8)/1000</f>
        <v>18608.383</v>
      </c>
      <c r="V435" s="49">
        <f t="shared" si="45"/>
        <v>25026.987</v>
      </c>
      <c r="W435" s="13">
        <f>('[216]M13A_RESIDENTS'!$L$36)/1000</f>
        <v>15508.228</v>
      </c>
      <c r="X435" s="13">
        <f>('[216]M13A_RESIDENTS'!$L$35)/1000</f>
        <v>421.403</v>
      </c>
      <c r="Y435" s="13">
        <f>('[216]M13A_RESIDENTS'!$L$34)/1000</f>
        <v>9097.356</v>
      </c>
      <c r="Z435" s="49">
        <f>('[216]M13A_RESIDENTS'!$L$37)/1000</f>
        <v>47242.761</v>
      </c>
      <c r="AA435" s="49">
        <f t="shared" si="46"/>
        <v>14183.806</v>
      </c>
      <c r="AB435" s="13">
        <f>('[216]M13A_RESIDENTS'!$L$4)/1000</f>
        <v>937.249</v>
      </c>
      <c r="AC435" s="13">
        <f>('[216]M13A_RESIDENTS'!$L$5)/1000</f>
        <v>0.008</v>
      </c>
      <c r="AD435" s="13">
        <f>('[216]M13A_RESIDENTS'!$L$7)/1000</f>
        <v>13216.733</v>
      </c>
      <c r="AE435" s="13">
        <f>('[216]M13A_RESIDENTS'!$L$6)/1000</f>
        <v>29.816</v>
      </c>
      <c r="AF435" s="49">
        <f>('[216]M13A_RESIDENTS'!$L$38)/1000</f>
        <v>84805.431</v>
      </c>
      <c r="AG435" s="49">
        <f>('[216]M13A_RESIDENTS'!$L$45)/1000</f>
        <v>1367.849</v>
      </c>
      <c r="AH435" s="49">
        <f>('[216]M13A_RESIDENTS'!$L$46)/1000</f>
        <v>68279.306</v>
      </c>
      <c r="AI435" s="49">
        <f>('[216]M13A_RESIDENTS'!$L$39)/1000</f>
        <v>2420.149</v>
      </c>
      <c r="AJ435" s="49">
        <f>(SUM('[216]M13A_RESIDENTS'!$L$40:$L$43))/1000</f>
        <v>67856.661</v>
      </c>
      <c r="AK435" s="49">
        <f>('[216]M13A_RESIDENTS'!$L$44)/1000</f>
        <v>462969.649</v>
      </c>
      <c r="AL435" s="49">
        <f>('[216]SUMMARY'!$C$23)/1000</f>
        <v>79035.55</v>
      </c>
      <c r="AM435" s="14">
        <f t="shared" si="47"/>
        <v>974157.4500000001</v>
      </c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</row>
    <row r="436" spans="1:72" ht="15">
      <c r="A436" s="22">
        <v>44408</v>
      </c>
      <c r="B436" s="49">
        <f t="shared" si="42"/>
        <v>15699.498</v>
      </c>
      <c r="C436" s="13">
        <f>(SUM('[217]M13A_RESIDENTS'!$L$12:$L$18))/1000</f>
        <v>8114.694</v>
      </c>
      <c r="D436" s="13">
        <f>(SUM('[217]M13A_RESIDENTS'!$L$10:$L$11))/1000</f>
        <v>3137.929</v>
      </c>
      <c r="E436" s="13">
        <f>('[217]M13A_RESIDENTS'!$L$9)/1000</f>
        <v>4446.875</v>
      </c>
      <c r="F436" s="49">
        <f>(SUM('[217]M13A_RESIDENTS'!$L$28:$L$30))/1000</f>
        <v>1523.612</v>
      </c>
      <c r="G436" s="49">
        <f t="shared" si="43"/>
        <v>36015.051999999996</v>
      </c>
      <c r="H436" s="13">
        <f>('[217]M13A_RESIDENTS'!$L$25)/1000</f>
        <v>1320.831</v>
      </c>
      <c r="I436" s="13">
        <f>('[217]M13A_RESIDENTS'!$L$21)/1000</f>
        <v>13649.925</v>
      </c>
      <c r="J436" s="13">
        <f>('[217]M13A_RESIDENTS'!$L$24)/1000</f>
        <v>941.823</v>
      </c>
      <c r="K436" s="13">
        <f>('[217]M13A_RESIDENTS'!$L$26)/1000</f>
        <v>506.435</v>
      </c>
      <c r="L436" s="13">
        <f>('[217]M13A_RESIDENTS'!$L$22)/1000</f>
        <v>466.694</v>
      </c>
      <c r="M436" s="13">
        <f>('[217]M13A_RESIDENTS'!$L$23)/1000</f>
        <v>2775.367</v>
      </c>
      <c r="N436" s="13">
        <f>('[217]M13A_RESIDENTS'!$L$19)/1000</f>
        <v>1518.805</v>
      </c>
      <c r="O436" s="13">
        <f>('[217]M13A_RESIDENTS'!$L$20)/1000</f>
        <v>1980.15</v>
      </c>
      <c r="P436" s="13">
        <f>('[217]M13A_RESIDENTS'!$L$27)/1000</f>
        <v>12855.022</v>
      </c>
      <c r="Q436" s="49">
        <f t="shared" si="44"/>
        <v>48674.34</v>
      </c>
      <c r="R436" s="13">
        <f>('[217]M13A_RESIDENTS'!$L$32)/1000</f>
        <v>43522.314</v>
      </c>
      <c r="S436" s="13">
        <f>('[217]M13A_RESIDENTS'!$L$31)/1000</f>
        <v>3858.204</v>
      </c>
      <c r="T436" s="13">
        <f>('[217]M13A_RESIDENTS'!$L$33)/1000</f>
        <v>1293.822</v>
      </c>
      <c r="U436" s="49">
        <f>('[217]M13A_RESIDENTS'!$L$8)/1000</f>
        <v>18781.08</v>
      </c>
      <c r="V436" s="49">
        <f t="shared" si="45"/>
        <v>25153.254</v>
      </c>
      <c r="W436" s="13">
        <f>('[217]M13A_RESIDENTS'!$L$36)/1000</f>
        <v>15784.3</v>
      </c>
      <c r="X436" s="13">
        <f>('[217]M13A_RESIDENTS'!$L$35)/1000</f>
        <v>406.251</v>
      </c>
      <c r="Y436" s="13">
        <f>('[217]M13A_RESIDENTS'!$L$34)/1000</f>
        <v>8962.703</v>
      </c>
      <c r="Z436" s="49">
        <f>('[217]M13A_RESIDENTS'!$L$37)/1000</f>
        <v>47938.294</v>
      </c>
      <c r="AA436" s="49">
        <f t="shared" si="46"/>
        <v>15501.219</v>
      </c>
      <c r="AB436" s="13">
        <f>('[217]M13A_RESIDENTS'!$L$4)/1000</f>
        <v>994.183</v>
      </c>
      <c r="AC436" s="13">
        <f>('[217]M13A_RESIDENTS'!$L$5)/1000</f>
        <v>0.01</v>
      </c>
      <c r="AD436" s="13">
        <f>('[217]M13A_RESIDENTS'!$L$7)/1000</f>
        <v>14476.796</v>
      </c>
      <c r="AE436" s="13">
        <f>('[217]M13A_RESIDENTS'!$L$6)/1000</f>
        <v>30.23</v>
      </c>
      <c r="AF436" s="49">
        <f>('[217]M13A_RESIDENTS'!$L$38)/1000</f>
        <v>86780.03</v>
      </c>
      <c r="AG436" s="49">
        <f>('[217]M13A_RESIDENTS'!$L$45)/1000</f>
        <v>1327.263</v>
      </c>
      <c r="AH436" s="49">
        <f>('[217]M13A_RESIDENTS'!$L$46)/1000</f>
        <v>70891.727</v>
      </c>
      <c r="AI436" s="49">
        <f>('[217]M13A_RESIDENTS'!$L$39)/1000</f>
        <v>2425.208</v>
      </c>
      <c r="AJ436" s="49">
        <f>(SUM('[217]M13A_RESIDENTS'!$L$40:$L$43))/1000</f>
        <v>68137.92</v>
      </c>
      <c r="AK436" s="49">
        <f>('[217]M13A_RESIDENTS'!$L$44)/1000</f>
        <v>469554.798</v>
      </c>
      <c r="AL436" s="49">
        <f>('[217]SUMMARY'!$C$23)/1000</f>
        <v>83967.06</v>
      </c>
      <c r="AM436" s="14">
        <f t="shared" si="47"/>
        <v>992370.355</v>
      </c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</row>
    <row r="437" spans="1:72" ht="15">
      <c r="A437" s="22">
        <v>44439</v>
      </c>
      <c r="B437" s="49">
        <f t="shared" si="42"/>
        <v>15603.291</v>
      </c>
      <c r="C437" s="13">
        <f>(SUM('[218]M13A_RESIDENTS'!$L$12:$L$18))/1000</f>
        <v>8101.177</v>
      </c>
      <c r="D437" s="13">
        <f>(SUM('[218]M13A_RESIDENTS'!$L$10:$L$11))/1000</f>
        <v>3055.239</v>
      </c>
      <c r="E437" s="13">
        <f>('[218]M13A_RESIDENTS'!$L$9)/1000</f>
        <v>4446.875</v>
      </c>
      <c r="F437" s="49">
        <f>(SUM('[218]M13A_RESIDENTS'!$L$28:$L$30))/1000</f>
        <v>1602.361</v>
      </c>
      <c r="G437" s="49">
        <f t="shared" si="43"/>
        <v>35428.023</v>
      </c>
      <c r="H437" s="13">
        <f>('[218]M13A_RESIDENTS'!$L$25)/1000</f>
        <v>1345.398</v>
      </c>
      <c r="I437" s="13">
        <f>('[218]M13A_RESIDENTS'!$L$21)/1000</f>
        <v>13243.839</v>
      </c>
      <c r="J437" s="13">
        <f>('[218]M13A_RESIDENTS'!$L$24)/1000</f>
        <v>893.313</v>
      </c>
      <c r="K437" s="13">
        <f>('[218]M13A_RESIDENTS'!$L$26)/1000</f>
        <v>511.797</v>
      </c>
      <c r="L437" s="13">
        <f>('[218]M13A_RESIDENTS'!$L$22)/1000</f>
        <v>461.038</v>
      </c>
      <c r="M437" s="13">
        <f>('[218]M13A_RESIDENTS'!$L$23)/1000</f>
        <v>2772.792</v>
      </c>
      <c r="N437" s="13">
        <f>('[218]M13A_RESIDENTS'!$L$19)/1000</f>
        <v>1619.215</v>
      </c>
      <c r="O437" s="13">
        <f>('[218]M13A_RESIDENTS'!$L$20)/1000</f>
        <v>2086.035</v>
      </c>
      <c r="P437" s="13">
        <f>('[218]M13A_RESIDENTS'!$L$27)/1000</f>
        <v>12494.596</v>
      </c>
      <c r="Q437" s="49">
        <f t="shared" si="44"/>
        <v>48425.208</v>
      </c>
      <c r="R437" s="13">
        <f>('[218]M13A_RESIDENTS'!$L$32)/1000</f>
        <v>43431.705</v>
      </c>
      <c r="S437" s="13">
        <f>('[218]M13A_RESIDENTS'!$L$31)/1000</f>
        <v>3743.646</v>
      </c>
      <c r="T437" s="13">
        <f>('[218]M13A_RESIDENTS'!$L$33)/1000</f>
        <v>1249.857</v>
      </c>
      <c r="U437" s="49">
        <f>('[218]M13A_RESIDENTS'!$L$8)/1000</f>
        <v>19378.29</v>
      </c>
      <c r="V437" s="49">
        <f t="shared" si="45"/>
        <v>24958.301</v>
      </c>
      <c r="W437" s="13">
        <f>('[218]M13A_RESIDENTS'!$L$36)/1000</f>
        <v>15567.943</v>
      </c>
      <c r="X437" s="13">
        <f>('[218]M13A_RESIDENTS'!$L$35)/1000</f>
        <v>405.843</v>
      </c>
      <c r="Y437" s="13">
        <f>('[218]M13A_RESIDENTS'!$L$34)/1000</f>
        <v>8984.515</v>
      </c>
      <c r="Z437" s="49">
        <f>('[218]M13A_RESIDENTS'!$L$37)/1000</f>
        <v>48073.31</v>
      </c>
      <c r="AA437" s="49">
        <f t="shared" si="46"/>
        <v>10338.046999999999</v>
      </c>
      <c r="AB437" s="13">
        <f>('[218]M13A_RESIDENTS'!$L$4)/1000</f>
        <v>795.038</v>
      </c>
      <c r="AC437" s="13">
        <f>('[218]M13A_RESIDENTS'!$L$5)/1000</f>
        <v>0.013</v>
      </c>
      <c r="AD437" s="13">
        <f>('[218]M13A_RESIDENTS'!$L$7)/1000</f>
        <v>9511.212</v>
      </c>
      <c r="AE437" s="13">
        <f>('[218]M13A_RESIDENTS'!$L$6)/1000</f>
        <v>31.784</v>
      </c>
      <c r="AF437" s="49">
        <f>('[218]M13A_RESIDENTS'!$L$38)/1000</f>
        <v>85444.198</v>
      </c>
      <c r="AG437" s="49">
        <f>('[218]M13A_RESIDENTS'!$L$45)/1000</f>
        <v>1429.87</v>
      </c>
      <c r="AH437" s="49">
        <f>('[218]M13A_RESIDENTS'!$L$46)/1000</f>
        <v>69594.229</v>
      </c>
      <c r="AI437" s="49">
        <f>('[218]M13A_RESIDENTS'!$L$39)/1000</f>
        <v>2109.851</v>
      </c>
      <c r="AJ437" s="49">
        <f>(SUM('[218]M13A_RESIDENTS'!$L$40:$L$43))/1000</f>
        <v>69784.461</v>
      </c>
      <c r="AK437" s="49">
        <f>('[218]M13A_RESIDENTS'!$L$44)/1000</f>
        <v>470570.799</v>
      </c>
      <c r="AL437" s="49">
        <f>('[218]SUMMARY'!$C$23)/1000</f>
        <v>81005.172</v>
      </c>
      <c r="AM437" s="14">
        <f t="shared" si="47"/>
        <v>983745.411</v>
      </c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</row>
    <row r="438" spans="1:72" ht="15">
      <c r="A438" s="22">
        <v>44469</v>
      </c>
      <c r="B438" s="49">
        <f t="shared" si="42"/>
        <v>15306.753</v>
      </c>
      <c r="C438" s="13">
        <f>(SUM('[219]M13A_RESIDENTS'!$L$12:$L$18))/1000</f>
        <v>8002.053</v>
      </c>
      <c r="D438" s="13">
        <f>(SUM('[219]M13A_RESIDENTS'!$L$10:$L$11))/1000</f>
        <v>2975.01</v>
      </c>
      <c r="E438" s="13">
        <f>('[219]M13A_RESIDENTS'!$L$9)/1000</f>
        <v>4329.69</v>
      </c>
      <c r="F438" s="49">
        <f>(SUM('[219]M13A_RESIDENTS'!$L$28:$L$30))/1000</f>
        <v>1590.615</v>
      </c>
      <c r="G438" s="49">
        <f t="shared" si="43"/>
        <v>35932.027</v>
      </c>
      <c r="H438" s="13">
        <f>('[219]M13A_RESIDENTS'!$L$25)/1000</f>
        <v>1409.108</v>
      </c>
      <c r="I438" s="13">
        <f>('[219]M13A_RESIDENTS'!$L$21)/1000</f>
        <v>13258.013</v>
      </c>
      <c r="J438" s="13">
        <f>('[219]M13A_RESIDENTS'!$L$24)/1000</f>
        <v>932.258</v>
      </c>
      <c r="K438" s="13">
        <f>('[219]M13A_RESIDENTS'!$L$26)/1000</f>
        <v>501.105</v>
      </c>
      <c r="L438" s="13">
        <f>('[219]M13A_RESIDENTS'!$L$22)/1000</f>
        <v>503.258</v>
      </c>
      <c r="M438" s="13">
        <f>('[219]M13A_RESIDENTS'!$L$23)/1000</f>
        <v>2684.123</v>
      </c>
      <c r="N438" s="13">
        <f>('[219]M13A_RESIDENTS'!$L$19)/1000</f>
        <v>1619.092</v>
      </c>
      <c r="O438" s="13">
        <f>('[219]M13A_RESIDENTS'!$L$20)/1000</f>
        <v>2103.655</v>
      </c>
      <c r="P438" s="13">
        <f>('[219]M13A_RESIDENTS'!$L$27)/1000</f>
        <v>12921.415</v>
      </c>
      <c r="Q438" s="49">
        <f t="shared" si="44"/>
        <v>48278.115000000005</v>
      </c>
      <c r="R438" s="13">
        <f>('[219]M13A_RESIDENTS'!$L$32)/1000</f>
        <v>43211.423</v>
      </c>
      <c r="S438" s="13">
        <f>('[219]M13A_RESIDENTS'!$L$31)/1000</f>
        <v>3877.472</v>
      </c>
      <c r="T438" s="13">
        <f>('[219]M13A_RESIDENTS'!$L$33)/1000</f>
        <v>1189.22</v>
      </c>
      <c r="U438" s="49">
        <f>('[219]M13A_RESIDENTS'!$L$8)/1000</f>
        <v>21489.073</v>
      </c>
      <c r="V438" s="49">
        <f t="shared" si="45"/>
        <v>25229.605</v>
      </c>
      <c r="W438" s="13">
        <f>('[219]M13A_RESIDENTS'!$L$36)/1000</f>
        <v>15860.175</v>
      </c>
      <c r="X438" s="13">
        <f>('[219]M13A_RESIDENTS'!$L$35)/1000</f>
        <v>381.141</v>
      </c>
      <c r="Y438" s="13">
        <f>('[219]M13A_RESIDENTS'!$L$34)/1000</f>
        <v>8988.289</v>
      </c>
      <c r="Z438" s="49">
        <f>('[219]M13A_RESIDENTS'!$L$37)/1000</f>
        <v>47314.312</v>
      </c>
      <c r="AA438" s="49">
        <f t="shared" si="46"/>
        <v>14286.294000000002</v>
      </c>
      <c r="AB438" s="13">
        <f>('[219]M13A_RESIDENTS'!$L$4)/1000</f>
        <v>750.783</v>
      </c>
      <c r="AC438" s="13">
        <f>('[219]M13A_RESIDENTS'!$L$5)/1000</f>
        <v>0.015</v>
      </c>
      <c r="AD438" s="13">
        <f>('[219]M13A_RESIDENTS'!$L$7)/1000</f>
        <v>13514.189</v>
      </c>
      <c r="AE438" s="13">
        <f>('[219]M13A_RESIDENTS'!$L$6)/1000</f>
        <v>21.307</v>
      </c>
      <c r="AF438" s="49">
        <f>('[219]M13A_RESIDENTS'!$L$38)/1000</f>
        <v>86972.457</v>
      </c>
      <c r="AG438" s="49">
        <f>('[219]M13A_RESIDENTS'!$L$45)/1000</f>
        <v>1402.864</v>
      </c>
      <c r="AH438" s="49">
        <f>('[219]M13A_RESIDENTS'!$L$46)/1000</f>
        <v>64552.047</v>
      </c>
      <c r="AI438" s="49">
        <f>('[219]M13A_RESIDENTS'!$L$39)/1000</f>
        <v>2117.787</v>
      </c>
      <c r="AJ438" s="49">
        <f>(SUM('[219]M13A_RESIDENTS'!$L$40:$L$43))/1000</f>
        <v>68740.569</v>
      </c>
      <c r="AK438" s="49">
        <f>('[219]M13A_RESIDENTS'!$L$44)/1000</f>
        <v>472341.21</v>
      </c>
      <c r="AL438" s="49">
        <f>('[219]SUMMARY'!$C$23)/1000</f>
        <v>80104.775</v>
      </c>
      <c r="AM438" s="14">
        <f t="shared" si="47"/>
        <v>985658.503</v>
      </c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</row>
    <row r="439" spans="1:72" ht="15">
      <c r="A439" s="22">
        <v>44500</v>
      </c>
      <c r="B439" s="49">
        <f aca="true" t="shared" si="48" ref="B439:B444">SUM(C439:E439)</f>
        <v>15439.241999999998</v>
      </c>
      <c r="C439" s="13">
        <f>(SUM('[220]M13A_RESIDENTS'!$L$12:$L$18))/1000</f>
        <v>8086.418</v>
      </c>
      <c r="D439" s="13">
        <f>(SUM('[220]M13A_RESIDENTS'!$L$10:$L$11))/1000</f>
        <v>3023.134</v>
      </c>
      <c r="E439" s="13">
        <f>('[220]M13A_RESIDENTS'!$L$9)/1000</f>
        <v>4329.69</v>
      </c>
      <c r="F439" s="49">
        <f>(SUM('[220]M13A_RESIDENTS'!$L$28:$L$30))/1000</f>
        <v>1582.959</v>
      </c>
      <c r="G439" s="49">
        <f aca="true" t="shared" si="49" ref="G439:G444">SUM(H439:P439)</f>
        <v>36902.866</v>
      </c>
      <c r="H439" s="13">
        <f>('[220]M13A_RESIDENTS'!$L$25)/1000</f>
        <v>1548.928</v>
      </c>
      <c r="I439" s="13">
        <f>('[220]M13A_RESIDENTS'!$L$21)/1000</f>
        <v>13563.741</v>
      </c>
      <c r="J439" s="13">
        <f>('[220]M13A_RESIDENTS'!$L$24)/1000</f>
        <v>856.005</v>
      </c>
      <c r="K439" s="13">
        <f>('[220]M13A_RESIDENTS'!$L$26)/1000</f>
        <v>497.401</v>
      </c>
      <c r="L439" s="13">
        <f>('[220]M13A_RESIDENTS'!$L$22)/1000</f>
        <v>472.418</v>
      </c>
      <c r="M439" s="13">
        <f>('[220]M13A_RESIDENTS'!$L$23)/1000</f>
        <v>2855.716</v>
      </c>
      <c r="N439" s="13">
        <f>('[220]M13A_RESIDENTS'!$L$19)/1000</f>
        <v>1603.16</v>
      </c>
      <c r="O439" s="13">
        <f>('[220]M13A_RESIDENTS'!$L$20)/1000</f>
        <v>2122.225</v>
      </c>
      <c r="P439" s="13">
        <f>('[220]M13A_RESIDENTS'!$L$27)/1000</f>
        <v>13383.272</v>
      </c>
      <c r="Q439" s="49">
        <f aca="true" t="shared" si="50" ref="Q439:Q444">SUM(R439:T439)</f>
        <v>48570.403000000006</v>
      </c>
      <c r="R439" s="13">
        <f>('[220]M13A_RESIDENTS'!$L$32)/1000</f>
        <v>43793.697</v>
      </c>
      <c r="S439" s="13">
        <f>('[220]M13A_RESIDENTS'!$L$31)/1000</f>
        <v>3574.391</v>
      </c>
      <c r="T439" s="13">
        <f>('[220]M13A_RESIDENTS'!$L$33)/1000</f>
        <v>1202.315</v>
      </c>
      <c r="U439" s="49">
        <f>('[220]M13A_RESIDENTS'!$L$8)/1000</f>
        <v>20456.862</v>
      </c>
      <c r="V439" s="49">
        <f aca="true" t="shared" si="51" ref="V439:V444">SUM(W439:Y439)</f>
        <v>27702.916</v>
      </c>
      <c r="W439" s="13">
        <f>('[220]M13A_RESIDENTS'!$L$36)/1000</f>
        <v>16035.068</v>
      </c>
      <c r="X439" s="13">
        <f>('[220]M13A_RESIDENTS'!$L$35)/1000</f>
        <v>376.666</v>
      </c>
      <c r="Y439" s="13">
        <f>('[220]M13A_RESIDENTS'!$L$34)/1000</f>
        <v>11291.182</v>
      </c>
      <c r="Z439" s="49">
        <f>('[220]M13A_RESIDENTS'!$L$37)/1000</f>
        <v>47738.134</v>
      </c>
      <c r="AA439" s="49">
        <f aca="true" t="shared" si="52" ref="AA439:AA444">SUM(AB439:AE439)</f>
        <v>15300.136</v>
      </c>
      <c r="AB439" s="13">
        <f>('[220]M13A_RESIDENTS'!$L$4)/1000</f>
        <v>732.065</v>
      </c>
      <c r="AC439" s="13">
        <f>('[220]M13A_RESIDENTS'!$L$5)/1000</f>
        <v>0.017</v>
      </c>
      <c r="AD439" s="13">
        <f>('[220]M13A_RESIDENTS'!$L$7)/1000</f>
        <v>14546.489</v>
      </c>
      <c r="AE439" s="13">
        <f>('[220]M13A_RESIDENTS'!$L$6)/1000</f>
        <v>21.565</v>
      </c>
      <c r="AF439" s="49">
        <f>('[220]M13A_RESIDENTS'!$L$38)/1000</f>
        <v>88010.77</v>
      </c>
      <c r="AG439" s="49">
        <f>('[220]M13A_RESIDENTS'!$L$45)/1000</f>
        <v>1450.871</v>
      </c>
      <c r="AH439" s="49">
        <f>('[220]M13A_RESIDENTS'!$L$46)/1000</f>
        <v>66977.365</v>
      </c>
      <c r="AI439" s="49">
        <f>('[220]M13A_RESIDENTS'!$L$39)/1000</f>
        <v>1856.733</v>
      </c>
      <c r="AJ439" s="49">
        <f>(SUM('[220]M13A_RESIDENTS'!$L$40:$L$43))/1000</f>
        <v>68888.47</v>
      </c>
      <c r="AK439" s="49">
        <f>('[220]M13A_RESIDENTS'!$L$44)/1000</f>
        <v>477961.297</v>
      </c>
      <c r="AL439" s="49">
        <f>('[220]SUMMARY'!$C$23)/1000</f>
        <v>82846.487</v>
      </c>
      <c r="AM439" s="14">
        <f aca="true" t="shared" si="53" ref="AM439:AM444">+B439+F439+G439+Q439+U439+V439+Z439+AA439+AF439+AH439+AI439+AJ439+AK439+AL439+AG439</f>
        <v>1001685.511</v>
      </c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</row>
    <row r="440" spans="1:72" ht="15">
      <c r="A440" s="22">
        <v>44530</v>
      </c>
      <c r="B440" s="49">
        <f t="shared" si="48"/>
        <v>15331.139000000001</v>
      </c>
      <c r="C440" s="13">
        <f>(SUM('[221]M13A_RESIDENTS'!$L$12:$L$18))/1000</f>
        <v>8086.104</v>
      </c>
      <c r="D440" s="13">
        <f>(SUM('[221]M13A_RESIDENTS'!$L$10:$L$11))/1000</f>
        <v>2915.347</v>
      </c>
      <c r="E440" s="13">
        <f>('[221]M13A_RESIDENTS'!$L$9)/1000</f>
        <v>4329.688</v>
      </c>
      <c r="F440" s="49">
        <f>(SUM('[221]M13A_RESIDENTS'!$L$28:$L$30))/1000</f>
        <v>1592.074</v>
      </c>
      <c r="G440" s="49">
        <f t="shared" si="49"/>
        <v>36727.646</v>
      </c>
      <c r="H440" s="13">
        <f>('[221]M13A_RESIDENTS'!$L$25)/1000</f>
        <v>1638.554</v>
      </c>
      <c r="I440" s="13">
        <f>('[221]M13A_RESIDENTS'!$L$21)/1000</f>
        <v>13751.907</v>
      </c>
      <c r="J440" s="13">
        <f>('[221]M13A_RESIDENTS'!$L$24)/1000</f>
        <v>850.083</v>
      </c>
      <c r="K440" s="13">
        <f>('[221]M13A_RESIDENTS'!$L$26)/1000</f>
        <v>527.13</v>
      </c>
      <c r="L440" s="13">
        <f>('[221]M13A_RESIDENTS'!$L$22)/1000</f>
        <v>486.395</v>
      </c>
      <c r="M440" s="13">
        <f>('[221]M13A_RESIDENTS'!$L$23)/1000</f>
        <v>2876.552</v>
      </c>
      <c r="N440" s="13">
        <f>('[221]M13A_RESIDENTS'!$L$19)/1000</f>
        <v>1640.004</v>
      </c>
      <c r="O440" s="13">
        <f>('[221]M13A_RESIDENTS'!$L$20)/1000</f>
        <v>2107.118</v>
      </c>
      <c r="P440" s="13">
        <f>('[221]M13A_RESIDENTS'!$L$27)/1000</f>
        <v>12849.903</v>
      </c>
      <c r="Q440" s="49">
        <f t="shared" si="50"/>
        <v>47126.626</v>
      </c>
      <c r="R440" s="13">
        <f>('[221]M13A_RESIDENTS'!$L$32)/1000</f>
        <v>42774.731</v>
      </c>
      <c r="S440" s="13">
        <f>('[221]M13A_RESIDENTS'!$L$31)/1000</f>
        <v>3206.49</v>
      </c>
      <c r="T440" s="13">
        <f>('[221]M13A_RESIDENTS'!$L$33)/1000</f>
        <v>1145.405</v>
      </c>
      <c r="U440" s="49">
        <f>('[221]M13A_RESIDENTS'!$L$8)/1000</f>
        <v>20666.027</v>
      </c>
      <c r="V440" s="49">
        <f t="shared" si="51"/>
        <v>26836.712</v>
      </c>
      <c r="W440" s="13">
        <f>('[221]M13A_RESIDENTS'!$L$36)/1000</f>
        <v>15824.02</v>
      </c>
      <c r="X440" s="13">
        <f>('[221]M13A_RESIDENTS'!$L$35)/1000</f>
        <v>394.574</v>
      </c>
      <c r="Y440" s="13">
        <f>('[221]M13A_RESIDENTS'!$L$34)/1000</f>
        <v>10618.118</v>
      </c>
      <c r="Z440" s="49">
        <f>('[221]M13A_RESIDENTS'!$L$37)/1000</f>
        <v>46436.674</v>
      </c>
      <c r="AA440" s="49">
        <f t="shared" si="52"/>
        <v>15119.015</v>
      </c>
      <c r="AB440" s="13">
        <f>('[221]M13A_RESIDENTS'!$L$4)/1000</f>
        <v>762.982</v>
      </c>
      <c r="AC440" s="13">
        <f>('[221]M13A_RESIDENTS'!$L$5)/1000</f>
        <v>0.019</v>
      </c>
      <c r="AD440" s="13">
        <f>('[221]M13A_RESIDENTS'!$L$7)/1000</f>
        <v>14334.228</v>
      </c>
      <c r="AE440" s="13">
        <f>('[221]M13A_RESIDENTS'!$L$6)/1000</f>
        <v>21.786</v>
      </c>
      <c r="AF440" s="49">
        <f>('[221]M13A_RESIDENTS'!$L$38)/1000</f>
        <v>90613.207</v>
      </c>
      <c r="AG440" s="49">
        <f>('[221]M13A_RESIDENTS'!$L$45)/1000</f>
        <v>1643</v>
      </c>
      <c r="AH440" s="49">
        <f>('[221]M13A_RESIDENTS'!$L$46)/1000</f>
        <v>67385.369</v>
      </c>
      <c r="AI440" s="49">
        <f>('[221]M13A_RESIDENTS'!$L$39)/1000</f>
        <v>1830.529</v>
      </c>
      <c r="AJ440" s="49">
        <f>(SUM('[221]M13A_RESIDENTS'!$L$40:$L$43))/1000</f>
        <v>70504.752</v>
      </c>
      <c r="AK440" s="49">
        <f>('[221]M13A_RESIDENTS'!$L$44)/1000</f>
        <v>482805.348</v>
      </c>
      <c r="AL440" s="49">
        <f>('[221]SUMMARY'!$C$23)/1000</f>
        <v>82549.562</v>
      </c>
      <c r="AM440" s="14">
        <f t="shared" si="53"/>
        <v>1007167.68</v>
      </c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</row>
    <row r="441" spans="1:72" ht="15">
      <c r="A441" s="22">
        <v>44561</v>
      </c>
      <c r="B441" s="49">
        <f t="shared" si="48"/>
        <v>15349.097000000002</v>
      </c>
      <c r="C441" s="13">
        <f>(SUM('[222]M13A_RESIDENTS'!$L$12:$L$18))/1000</f>
        <v>8223.387</v>
      </c>
      <c r="D441" s="13">
        <f>(SUM('[222]M13A_RESIDENTS'!$L$10:$L$11))/1000</f>
        <v>2913.21</v>
      </c>
      <c r="E441" s="13">
        <f>('[222]M13A_RESIDENTS'!$L$9)/1000</f>
        <v>4212.5</v>
      </c>
      <c r="F441" s="49">
        <f>(SUM('[222]M13A_RESIDENTS'!$L$28:$L$30))/1000</f>
        <v>3104.873</v>
      </c>
      <c r="G441" s="49">
        <f t="shared" si="49"/>
        <v>36464.977</v>
      </c>
      <c r="H441" s="13">
        <f>('[222]M13A_RESIDENTS'!$L$25)/1000</f>
        <v>1618.961</v>
      </c>
      <c r="I441" s="13">
        <f>('[222]M13A_RESIDENTS'!$L$21)/1000</f>
        <v>13478.64</v>
      </c>
      <c r="J441" s="13">
        <f>('[222]M13A_RESIDENTS'!$L$24)/1000</f>
        <v>843.286</v>
      </c>
      <c r="K441" s="13">
        <f>('[222]M13A_RESIDENTS'!$L$26)/1000</f>
        <v>529.763</v>
      </c>
      <c r="L441" s="13">
        <f>('[222]M13A_RESIDENTS'!$L$22)/1000</f>
        <v>517.249</v>
      </c>
      <c r="M441" s="13">
        <f>('[222]M13A_RESIDENTS'!$L$23)/1000</f>
        <v>2869.808</v>
      </c>
      <c r="N441" s="13">
        <f>('[222]M13A_RESIDENTS'!$L$19)/1000</f>
        <v>1596.399</v>
      </c>
      <c r="O441" s="13">
        <f>('[222]M13A_RESIDENTS'!$L$20)/1000</f>
        <v>2120.126</v>
      </c>
      <c r="P441" s="13">
        <f>('[222]M13A_RESIDENTS'!$L$27)/1000</f>
        <v>12890.745</v>
      </c>
      <c r="Q441" s="49">
        <f t="shared" si="50"/>
        <v>45998</v>
      </c>
      <c r="R441" s="13">
        <f>('[222]M13A_RESIDENTS'!$L$32)/1000</f>
        <v>41555.648</v>
      </c>
      <c r="S441" s="13">
        <f>('[222]M13A_RESIDENTS'!$L$31)/1000</f>
        <v>3294.753</v>
      </c>
      <c r="T441" s="13">
        <f>('[222]M13A_RESIDENTS'!$L$33)/1000</f>
        <v>1147.599</v>
      </c>
      <c r="U441" s="49">
        <f>('[222]M13A_RESIDENTS'!$L$8)/1000</f>
        <v>21269.677</v>
      </c>
      <c r="V441" s="49">
        <f t="shared" si="51"/>
        <v>26787.167999999998</v>
      </c>
      <c r="W441" s="13">
        <f>('[222]M13A_RESIDENTS'!$L$36)/1000</f>
        <v>15850.021</v>
      </c>
      <c r="X441" s="13">
        <f>('[222]M13A_RESIDENTS'!$L$35)/1000</f>
        <v>400.187</v>
      </c>
      <c r="Y441" s="13">
        <f>('[222]M13A_RESIDENTS'!$L$34)/1000</f>
        <v>10536.96</v>
      </c>
      <c r="Z441" s="49">
        <f>('[222]M13A_RESIDENTS'!$L$37)/1000</f>
        <v>47419.462</v>
      </c>
      <c r="AA441" s="49">
        <f t="shared" si="52"/>
        <v>7312.1849999999995</v>
      </c>
      <c r="AB441" s="13">
        <f>('[222]M13A_RESIDENTS'!$L$4)/1000</f>
        <v>872.903</v>
      </c>
      <c r="AC441" s="13">
        <f>('[222]M13A_RESIDENTS'!$L$5)/1000</f>
        <v>0.022</v>
      </c>
      <c r="AD441" s="13">
        <f>('[222]M13A_RESIDENTS'!$L$7)/1000</f>
        <v>6427.436</v>
      </c>
      <c r="AE441" s="13">
        <f>('[222]M13A_RESIDENTS'!$L$6)/1000</f>
        <v>11.824</v>
      </c>
      <c r="AF441" s="49">
        <f>('[222]M13A_RESIDENTS'!$L$38)/1000</f>
        <v>93760.216</v>
      </c>
      <c r="AG441" s="49">
        <f>('[222]M13A_RESIDENTS'!$L$45)/1000</f>
        <v>1698.425</v>
      </c>
      <c r="AH441" s="49">
        <f>('[222]M13A_RESIDENTS'!$L$46)/1000</f>
        <v>63382.261</v>
      </c>
      <c r="AI441" s="49">
        <f>('[222]M13A_RESIDENTS'!$L$39)/1000</f>
        <v>1803.234</v>
      </c>
      <c r="AJ441" s="49">
        <f>(SUM('[222]M13A_RESIDENTS'!$L$40:$L$43))/1000</f>
        <v>68562.917</v>
      </c>
      <c r="AK441" s="49">
        <f>('[222]M13A_RESIDENTS'!$L$44)/1000</f>
        <v>489999.47</v>
      </c>
      <c r="AL441" s="49">
        <f>('[222]SUMMARY'!$C$23)/1000</f>
        <v>83327.435</v>
      </c>
      <c r="AM441" s="14">
        <f t="shared" si="53"/>
        <v>1006239.3970000001</v>
      </c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</row>
    <row r="442" spans="1:72" ht="15">
      <c r="A442" s="22">
        <v>44592</v>
      </c>
      <c r="B442" s="49">
        <f t="shared" si="48"/>
        <v>15577.929</v>
      </c>
      <c r="C442" s="13">
        <f>(SUM('[223]M13A_RESIDENTS'!$L$12:$L$18))/1000</f>
        <v>8479.067</v>
      </c>
      <c r="D442" s="13">
        <f>(SUM('[223]M13A_RESIDENTS'!$L$10:$L$11))/1000</f>
        <v>2886.362</v>
      </c>
      <c r="E442" s="13">
        <f>('[223]M13A_RESIDENTS'!$L$9)/1000</f>
        <v>4212.5</v>
      </c>
      <c r="F442" s="49">
        <f>(SUM('[223]M13A_RESIDENTS'!$L$28:$L$30))/1000</f>
        <v>2778.069</v>
      </c>
      <c r="G442" s="49">
        <f t="shared" si="49"/>
        <v>36218.736000000004</v>
      </c>
      <c r="H442" s="13">
        <f>('[223]M13A_RESIDENTS'!$L$25)/1000</f>
        <v>1629.994</v>
      </c>
      <c r="I442" s="13">
        <f>('[223]M13A_RESIDENTS'!$L$21)/1000</f>
        <v>13886.692</v>
      </c>
      <c r="J442" s="13">
        <f>('[223]M13A_RESIDENTS'!$L$24)/1000</f>
        <v>829.101</v>
      </c>
      <c r="K442" s="13">
        <f>('[223]M13A_RESIDENTS'!$L$26)/1000</f>
        <v>532.921</v>
      </c>
      <c r="L442" s="13">
        <f>('[223]M13A_RESIDENTS'!$L$22)/1000</f>
        <v>496.448</v>
      </c>
      <c r="M442" s="13">
        <f>('[223]M13A_RESIDENTS'!$L$23)/1000</f>
        <v>2917.592</v>
      </c>
      <c r="N442" s="13">
        <f>('[223]M13A_RESIDENTS'!$L$19)/1000</f>
        <v>1526.669</v>
      </c>
      <c r="O442" s="13">
        <f>('[223]M13A_RESIDENTS'!$L$20)/1000</f>
        <v>2068.496</v>
      </c>
      <c r="P442" s="13">
        <f>('[223]M13A_RESIDENTS'!$L$27)/1000</f>
        <v>12330.823</v>
      </c>
      <c r="Q442" s="49">
        <f t="shared" si="50"/>
        <v>44665.831000000006</v>
      </c>
      <c r="R442" s="13">
        <f>('[223]M13A_RESIDENTS'!$L$32)/1000</f>
        <v>40428.277</v>
      </c>
      <c r="S442" s="13">
        <f>('[223]M13A_RESIDENTS'!$L$31)/1000</f>
        <v>3149.885</v>
      </c>
      <c r="T442" s="13">
        <f>('[223]M13A_RESIDENTS'!$L$33)/1000</f>
        <v>1087.669</v>
      </c>
      <c r="U442" s="49">
        <f>('[223]M13A_RESIDENTS'!$L$8)/1000</f>
        <v>21028.8</v>
      </c>
      <c r="V442" s="49">
        <f t="shared" si="51"/>
        <v>26373.581</v>
      </c>
      <c r="W442" s="13">
        <f>('[223]M13A_RESIDENTS'!$L$36)/1000</f>
        <v>15619.639</v>
      </c>
      <c r="X442" s="13">
        <f>('[223]M13A_RESIDENTS'!$L$35)/1000</f>
        <v>398.264</v>
      </c>
      <c r="Y442" s="13">
        <f>('[223]M13A_RESIDENTS'!$L$34)/1000</f>
        <v>10355.678</v>
      </c>
      <c r="Z442" s="49">
        <f>('[223]M13A_RESIDENTS'!$L$37)/1000</f>
        <v>43971.666</v>
      </c>
      <c r="AA442" s="49">
        <f t="shared" si="52"/>
        <v>7126.319</v>
      </c>
      <c r="AB442" s="13">
        <f>('[223]M13A_RESIDENTS'!$L$4)/1000</f>
        <v>692.001</v>
      </c>
      <c r="AC442" s="13">
        <f>('[223]M13A_RESIDENTS'!$L$5)/1000</f>
        <v>0.023</v>
      </c>
      <c r="AD442" s="13">
        <f>('[223]M13A_RESIDENTS'!$L$7)/1000</f>
        <v>6422.657</v>
      </c>
      <c r="AE442" s="13">
        <f>('[223]M13A_RESIDENTS'!$L$6)/1000</f>
        <v>11.638</v>
      </c>
      <c r="AF442" s="49">
        <f>('[223]M13A_RESIDENTS'!$L$38)/1000</f>
        <v>93811.852</v>
      </c>
      <c r="AG442" s="49">
        <f>('[223]M13A_RESIDENTS'!$L$45)/1000</f>
        <v>1665.954</v>
      </c>
      <c r="AH442" s="49">
        <f>('[223]M13A_RESIDENTS'!$L$46)/1000</f>
        <v>63652.594</v>
      </c>
      <c r="AI442" s="49">
        <f>('[223]M13A_RESIDENTS'!$L$39)/1000</f>
        <v>1806.511</v>
      </c>
      <c r="AJ442" s="49">
        <f>(SUM('[223]M13A_RESIDENTS'!$L$40:$L$43))/1000</f>
        <v>68788.498</v>
      </c>
      <c r="AK442" s="49">
        <f>('[223]M13A_RESIDENTS'!$L$44)/1000</f>
        <v>493764.324</v>
      </c>
      <c r="AL442" s="49">
        <f>('[223]SUMMARY'!$C$23)/1000</f>
        <v>86809.239</v>
      </c>
      <c r="AM442" s="14">
        <f t="shared" si="53"/>
        <v>1008039.903</v>
      </c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</row>
    <row r="443" spans="1:72" ht="15">
      <c r="A443" s="22">
        <v>44620</v>
      </c>
      <c r="B443" s="49">
        <f t="shared" si="48"/>
        <v>15324.886999999999</v>
      </c>
      <c r="C443" s="13">
        <f>(SUM('[224]M13A_RESIDENTS'!$L$12:$L$18))/1000</f>
        <v>8163.663</v>
      </c>
      <c r="D443" s="13">
        <f>(SUM('[224]M13A_RESIDENTS'!$L$10:$L$11))/1000</f>
        <v>2948.724</v>
      </c>
      <c r="E443" s="13">
        <f>('[224]M13A_RESIDENTS'!$L$9)/1000</f>
        <v>4212.5</v>
      </c>
      <c r="F443" s="49">
        <f>(SUM('[224]M13A_RESIDENTS'!$L$28:$L$30))/1000</f>
        <v>2756.895</v>
      </c>
      <c r="G443" s="49">
        <f t="shared" si="49"/>
        <v>36927.03</v>
      </c>
      <c r="H443" s="13">
        <f>('[224]M13A_RESIDENTS'!$L$25)/1000</f>
        <v>1559.425</v>
      </c>
      <c r="I443" s="13">
        <f>('[224]M13A_RESIDENTS'!$L$21)/1000</f>
        <v>14035.258</v>
      </c>
      <c r="J443" s="13">
        <f>('[224]M13A_RESIDENTS'!$L$24)/1000</f>
        <v>808.256</v>
      </c>
      <c r="K443" s="13">
        <f>('[224]M13A_RESIDENTS'!$L$26)/1000</f>
        <v>519.787</v>
      </c>
      <c r="L443" s="13">
        <f>('[224]M13A_RESIDENTS'!$L$22)/1000</f>
        <v>599.347</v>
      </c>
      <c r="M443" s="13">
        <f>('[224]M13A_RESIDENTS'!$L$23)/1000</f>
        <v>3157.775</v>
      </c>
      <c r="N443" s="13">
        <f>('[224]M13A_RESIDENTS'!$L$19)/1000</f>
        <v>1587.758</v>
      </c>
      <c r="O443" s="13">
        <f>('[224]M13A_RESIDENTS'!$L$20)/1000</f>
        <v>2182.368</v>
      </c>
      <c r="P443" s="13">
        <f>('[224]M13A_RESIDENTS'!$L$27)/1000</f>
        <v>12477.056</v>
      </c>
      <c r="Q443" s="49">
        <f t="shared" si="50"/>
        <v>43551.769</v>
      </c>
      <c r="R443" s="13">
        <f>('[224]M13A_RESIDENTS'!$L$32)/1000</f>
        <v>39466.358</v>
      </c>
      <c r="S443" s="13">
        <f>('[224]M13A_RESIDENTS'!$L$31)/1000</f>
        <v>3013.067</v>
      </c>
      <c r="T443" s="13">
        <f>('[224]M13A_RESIDENTS'!$L$33)/1000</f>
        <v>1072.344</v>
      </c>
      <c r="U443" s="49">
        <f>('[224]M13A_RESIDENTS'!$L$8)/1000</f>
        <v>22411.707</v>
      </c>
      <c r="V443" s="49">
        <f t="shared" si="51"/>
        <v>26563.771999999997</v>
      </c>
      <c r="W443" s="13">
        <f>('[224]M13A_RESIDENTS'!$L$36)/1000</f>
        <v>15331.044</v>
      </c>
      <c r="X443" s="13">
        <f>('[224]M13A_RESIDENTS'!$L$35)/1000</f>
        <v>401.247</v>
      </c>
      <c r="Y443" s="13">
        <f>('[224]M13A_RESIDENTS'!$L$34)/1000</f>
        <v>10831.481</v>
      </c>
      <c r="Z443" s="49">
        <f>('[224]M13A_RESIDENTS'!$L$37)/1000</f>
        <v>43292.402</v>
      </c>
      <c r="AA443" s="49">
        <f t="shared" si="52"/>
        <v>6909.856000000001</v>
      </c>
      <c r="AB443" s="13">
        <f>('[224]M13A_RESIDENTS'!$L$4)/1000</f>
        <v>734.998</v>
      </c>
      <c r="AC443" s="13">
        <f>('[224]M13A_RESIDENTS'!$L$5)/1000</f>
        <v>0.026</v>
      </c>
      <c r="AD443" s="13">
        <f>('[224]M13A_RESIDENTS'!$L$7)/1000</f>
        <v>6163.549</v>
      </c>
      <c r="AE443" s="13">
        <f>('[224]M13A_RESIDENTS'!$L$6)/1000</f>
        <v>11.283</v>
      </c>
      <c r="AF443" s="49">
        <f>('[224]M13A_RESIDENTS'!$L$38)/1000</f>
        <v>95511.337</v>
      </c>
      <c r="AG443" s="49">
        <f>('[224]M13A_RESIDENTS'!$L$45)/1000</f>
        <v>1658.318</v>
      </c>
      <c r="AH443" s="49">
        <f>('[224]M13A_RESIDENTS'!$L$46)/1000</f>
        <v>65274.858</v>
      </c>
      <c r="AI443" s="49">
        <f>('[224]M13A_RESIDENTS'!$L$39)/1000</f>
        <v>1790.647</v>
      </c>
      <c r="AJ443" s="49">
        <f>(SUM('[224]M13A_RESIDENTS'!$L$40:$L$43))/1000</f>
        <v>69349.475</v>
      </c>
      <c r="AK443" s="49">
        <f>('[224]M13A_RESIDENTS'!$L$44)/1000</f>
        <v>501124.233</v>
      </c>
      <c r="AL443" s="49">
        <f>('[224]SUMMARY'!$C$23)/1000</f>
        <v>86409.112</v>
      </c>
      <c r="AM443" s="14">
        <f t="shared" si="53"/>
        <v>1018856.298</v>
      </c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</row>
    <row r="444" spans="1:72" ht="15">
      <c r="A444" s="22">
        <v>44651</v>
      </c>
      <c r="B444" s="49">
        <f t="shared" si="48"/>
        <v>15146.025999999998</v>
      </c>
      <c r="C444" s="13">
        <f>(SUM('[225]M13A_RESIDENTS'!$L$12:$L$18))/1000</f>
        <v>8213.596</v>
      </c>
      <c r="D444" s="13">
        <f>(SUM('[225]M13A_RESIDENTS'!$L$10:$L$11))/1000</f>
        <v>2869.273</v>
      </c>
      <c r="E444" s="13">
        <f>('[225]M13A_RESIDENTS'!$L$9)/1000</f>
        <v>4063.157</v>
      </c>
      <c r="F444" s="49">
        <f>(SUM('[225]M13A_RESIDENTS'!$L$28:$L$30))/1000</f>
        <v>2788.547</v>
      </c>
      <c r="G444" s="49">
        <f t="shared" si="49"/>
        <v>37831.421</v>
      </c>
      <c r="H444" s="13">
        <f>('[225]M13A_RESIDENTS'!$L$25)/1000</f>
        <v>1523.41</v>
      </c>
      <c r="I444" s="13">
        <f>('[225]M13A_RESIDENTS'!$L$21)/1000</f>
        <v>15325.885</v>
      </c>
      <c r="J444" s="13">
        <f>('[225]M13A_RESIDENTS'!$L$24)/1000</f>
        <v>801.901</v>
      </c>
      <c r="K444" s="13">
        <f>('[225]M13A_RESIDENTS'!$L$26)/1000</f>
        <v>510.013</v>
      </c>
      <c r="L444" s="13">
        <f>('[225]M13A_RESIDENTS'!$L$22)/1000</f>
        <v>607.815</v>
      </c>
      <c r="M444" s="13">
        <f>('[225]M13A_RESIDENTS'!$L$23)/1000</f>
        <v>3141.533</v>
      </c>
      <c r="N444" s="13">
        <f>('[225]M13A_RESIDENTS'!$L$19)/1000</f>
        <v>1599.73</v>
      </c>
      <c r="O444" s="13">
        <f>('[225]M13A_RESIDENTS'!$L$20)/1000</f>
        <v>2196.528</v>
      </c>
      <c r="P444" s="13">
        <f>('[225]M13A_RESIDENTS'!$L$27)/1000</f>
        <v>12124.606</v>
      </c>
      <c r="Q444" s="49">
        <f t="shared" si="50"/>
        <v>44220.39599999999</v>
      </c>
      <c r="R444" s="13">
        <f>('[225]M13A_RESIDENTS'!$L$32)/1000</f>
        <v>40002.401</v>
      </c>
      <c r="S444" s="13">
        <f>('[225]M13A_RESIDENTS'!$L$31)/1000</f>
        <v>3161.092</v>
      </c>
      <c r="T444" s="13">
        <f>('[225]M13A_RESIDENTS'!$L$33)/1000</f>
        <v>1056.903</v>
      </c>
      <c r="U444" s="49">
        <f>('[225]M13A_RESIDENTS'!$L$8)/1000</f>
        <v>23541.777</v>
      </c>
      <c r="V444" s="49">
        <f t="shared" si="51"/>
        <v>27082.653</v>
      </c>
      <c r="W444" s="13">
        <f>('[225]M13A_RESIDENTS'!$L$36)/1000</f>
        <v>14976.572</v>
      </c>
      <c r="X444" s="13">
        <f>('[225]M13A_RESIDENTS'!$L$35)/1000</f>
        <v>397.903</v>
      </c>
      <c r="Y444" s="13">
        <f>('[225]M13A_RESIDENTS'!$L$34)/1000</f>
        <v>11708.178</v>
      </c>
      <c r="Z444" s="49">
        <f>('[225]M13A_RESIDENTS'!$L$37)/1000</f>
        <v>43269.54</v>
      </c>
      <c r="AA444" s="49">
        <f t="shared" si="52"/>
        <v>6836.837</v>
      </c>
      <c r="AB444" s="13">
        <f>('[225]M13A_RESIDENTS'!$L$4)/1000</f>
        <v>779.903</v>
      </c>
      <c r="AC444" s="13">
        <f>('[225]M13A_RESIDENTS'!$L$5)/1000</f>
        <v>0.028</v>
      </c>
      <c r="AD444" s="13">
        <f>('[225]M13A_RESIDENTS'!$L$7)/1000</f>
        <v>6054.32</v>
      </c>
      <c r="AE444" s="13">
        <f>('[225]M13A_RESIDENTS'!$L$6)/1000</f>
        <v>2.586</v>
      </c>
      <c r="AF444" s="49">
        <f>('[225]M13A_RESIDENTS'!$L$38)/1000</f>
        <v>97936.02</v>
      </c>
      <c r="AG444" s="49">
        <f>('[225]M13A_RESIDENTS'!$L$45)/1000</f>
        <v>1667.623</v>
      </c>
      <c r="AH444" s="49">
        <f>('[225]M13A_RESIDENTS'!$L$46)/1000</f>
        <v>68045.291</v>
      </c>
      <c r="AI444" s="49">
        <f>('[225]M13A_RESIDENTS'!$L$39)/1000</f>
        <v>1768.873</v>
      </c>
      <c r="AJ444" s="49">
        <f>(SUM('[225]M13A_RESIDENTS'!$L$40:$L$43))/1000</f>
        <v>70185.262</v>
      </c>
      <c r="AK444" s="49">
        <f>('[225]M13A_RESIDENTS'!$L$44)/1000</f>
        <v>508579.334</v>
      </c>
      <c r="AL444" s="49">
        <f>('[225]SUMMARY'!$C$23)/1000</f>
        <v>86277.564</v>
      </c>
      <c r="AM444" s="14">
        <f t="shared" si="53"/>
        <v>1035177.164</v>
      </c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</row>
    <row r="445" spans="1:72" ht="15">
      <c r="A445" s="22">
        <v>44681</v>
      </c>
      <c r="B445" s="49">
        <f aca="true" t="shared" si="54" ref="B445:B450">SUM(C445:E445)</f>
        <v>15354.774999999998</v>
      </c>
      <c r="C445" s="13">
        <f>(SUM('[226]M13A_RESIDENTS'!$L$12:$L$18))/1000</f>
        <v>8407.193</v>
      </c>
      <c r="D445" s="13">
        <f>(SUM('[226]M13A_RESIDENTS'!$L$10:$L$11))/1000</f>
        <v>2884.425</v>
      </c>
      <c r="E445" s="13">
        <f>('[226]M13A_RESIDENTS'!$L$9)/1000</f>
        <v>4063.157</v>
      </c>
      <c r="F445" s="49">
        <f>(SUM('[226]M13A_RESIDENTS'!$L$28:$L$30))/1000</f>
        <v>2777.621</v>
      </c>
      <c r="G445" s="49">
        <f aca="true" t="shared" si="55" ref="G445:G450">SUM(H445:P445)</f>
        <v>37290.903000000006</v>
      </c>
      <c r="H445" s="13">
        <f>('[226]M13A_RESIDENTS'!$L$25)/1000</f>
        <v>1522.694</v>
      </c>
      <c r="I445" s="13">
        <f>('[226]M13A_RESIDENTS'!$L$21)/1000</f>
        <v>15131.876</v>
      </c>
      <c r="J445" s="13">
        <f>('[226]M13A_RESIDENTS'!$L$24)/1000</f>
        <v>823.723</v>
      </c>
      <c r="K445" s="13">
        <f>('[226]M13A_RESIDENTS'!$L$26)/1000</f>
        <v>487.325</v>
      </c>
      <c r="L445" s="13">
        <f>('[226]M13A_RESIDENTS'!$L$22)/1000</f>
        <v>611.276</v>
      </c>
      <c r="M445" s="13">
        <f>('[226]M13A_RESIDENTS'!$L$23)/1000</f>
        <v>3170.809</v>
      </c>
      <c r="N445" s="13">
        <f>('[226]M13A_RESIDENTS'!$L$19)/1000</f>
        <v>1645.713</v>
      </c>
      <c r="O445" s="13">
        <f>('[226]M13A_RESIDENTS'!$L$20)/1000</f>
        <v>2207.037</v>
      </c>
      <c r="P445" s="13">
        <f>('[226]M13A_RESIDENTS'!$L$27)/1000</f>
        <v>11690.45</v>
      </c>
      <c r="Q445" s="49">
        <f aca="true" t="shared" si="56" ref="Q445:Q450">SUM(R445:T445)</f>
        <v>44234.886000000006</v>
      </c>
      <c r="R445" s="13">
        <f>('[226]M13A_RESIDENTS'!$L$32)/1000</f>
        <v>39861.906</v>
      </c>
      <c r="S445" s="13">
        <f>('[226]M13A_RESIDENTS'!$L$31)/1000</f>
        <v>3314.989</v>
      </c>
      <c r="T445" s="13">
        <f>('[226]M13A_RESIDENTS'!$L$33)/1000</f>
        <v>1057.991</v>
      </c>
      <c r="U445" s="49">
        <f>('[226]M13A_RESIDENTS'!$L$8)/1000</f>
        <v>22086.005</v>
      </c>
      <c r="V445" s="49">
        <f aca="true" t="shared" si="57" ref="V445:V450">SUM(W445:Y445)</f>
        <v>27040.996</v>
      </c>
      <c r="W445" s="13">
        <f>('[226]M13A_RESIDENTS'!$L$36)/1000</f>
        <v>14916.411</v>
      </c>
      <c r="X445" s="13">
        <f>('[226]M13A_RESIDENTS'!$L$35)/1000</f>
        <v>392.359</v>
      </c>
      <c r="Y445" s="13">
        <f>('[226]M13A_RESIDENTS'!$L$34)/1000</f>
        <v>11732.226</v>
      </c>
      <c r="Z445" s="49">
        <f>('[226]M13A_RESIDENTS'!$L$37)/1000</f>
        <v>42873.262</v>
      </c>
      <c r="AA445" s="49">
        <f aca="true" t="shared" si="58" ref="AA445:AA450">SUM(AB445:AE445)</f>
        <v>6836.6720000000005</v>
      </c>
      <c r="AB445" s="13">
        <f>('[226]M13A_RESIDENTS'!$L$4)/1000</f>
        <v>811.364</v>
      </c>
      <c r="AC445" s="13">
        <f>('[226]M13A_RESIDENTS'!$L$5)/1000</f>
        <v>0.03</v>
      </c>
      <c r="AD445" s="13">
        <f>('[226]M13A_RESIDENTS'!$L$7)/1000</f>
        <v>6022.746</v>
      </c>
      <c r="AE445" s="13">
        <f>('[226]M13A_RESIDENTS'!$L$6)/1000</f>
        <v>2.532</v>
      </c>
      <c r="AF445" s="49">
        <f>('[226]M13A_RESIDENTS'!$L$38)/1000</f>
        <v>97992.202</v>
      </c>
      <c r="AG445" s="49">
        <f>('[226]M13A_RESIDENTS'!$L$45)/1000</f>
        <v>1596.086</v>
      </c>
      <c r="AH445" s="49">
        <f>('[226]M13A_RESIDENTS'!$L$46)/1000</f>
        <v>68186.715</v>
      </c>
      <c r="AI445" s="49">
        <f>('[226]M13A_RESIDENTS'!$L$39)/1000</f>
        <v>1817.965</v>
      </c>
      <c r="AJ445" s="49">
        <f>(SUM('[226]M13A_RESIDENTS'!$L$40:$L$43))/1000</f>
        <v>71920.166</v>
      </c>
      <c r="AK445" s="49">
        <f>('[226]M13A_RESIDENTS'!$L$44)/1000</f>
        <v>513174.455</v>
      </c>
      <c r="AL445" s="49">
        <f>('[226]SUMMARY'!$C$23)/1000</f>
        <v>85202.11</v>
      </c>
      <c r="AM445" s="14">
        <f aca="true" t="shared" si="59" ref="AM445:AM450">+B445+F445+G445+Q445+U445+V445+Z445+AA445+AF445+AH445+AI445+AJ445+AK445+AL445+AG445</f>
        <v>1038384.8190000001</v>
      </c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</row>
    <row r="446" spans="1:72" ht="15">
      <c r="A446" s="22">
        <v>44712</v>
      </c>
      <c r="B446" s="49">
        <f t="shared" si="54"/>
        <v>14928.098999999998</v>
      </c>
      <c r="C446" s="13">
        <f>(SUM('[227]M13A_RESIDENTS'!$L$12:$L$18))/1000</f>
        <v>8018.048</v>
      </c>
      <c r="D446" s="13">
        <f>(SUM('[227]M13A_RESIDENTS'!$L$10:$L$11))/1000</f>
        <v>2846.894</v>
      </c>
      <c r="E446" s="13">
        <f>('[227]M13A_RESIDENTS'!$L$9)/1000</f>
        <v>4063.157</v>
      </c>
      <c r="F446" s="49">
        <f>(SUM('[227]M13A_RESIDENTS'!$L$28:$L$30))/1000</f>
        <v>2759.423</v>
      </c>
      <c r="G446" s="49">
        <f t="shared" si="55"/>
        <v>37976.817</v>
      </c>
      <c r="H446" s="13">
        <f>('[227]M13A_RESIDENTS'!$L$25)/1000</f>
        <v>2326.5</v>
      </c>
      <c r="I446" s="13">
        <f>('[227]M13A_RESIDENTS'!$L$21)/1000</f>
        <v>13708.65</v>
      </c>
      <c r="J446" s="13">
        <f>('[227]M13A_RESIDENTS'!$L$24)/1000</f>
        <v>817.513</v>
      </c>
      <c r="K446" s="13">
        <f>('[227]M13A_RESIDENTS'!$L$26)/1000</f>
        <v>471.309</v>
      </c>
      <c r="L446" s="13">
        <f>('[227]M13A_RESIDENTS'!$L$22)/1000</f>
        <v>605.852</v>
      </c>
      <c r="M446" s="13">
        <f>('[227]M13A_RESIDENTS'!$L$23)/1000</f>
        <v>3156.783</v>
      </c>
      <c r="N446" s="13">
        <f>('[227]M13A_RESIDENTS'!$L$19)/1000</f>
        <v>1670.045</v>
      </c>
      <c r="O446" s="13">
        <f>('[227]M13A_RESIDENTS'!$L$20)/1000</f>
        <v>2160.387</v>
      </c>
      <c r="P446" s="13">
        <f>('[227]M13A_RESIDENTS'!$L$27)/1000</f>
        <v>13059.778</v>
      </c>
      <c r="Q446" s="49">
        <f t="shared" si="56"/>
        <v>44465.383</v>
      </c>
      <c r="R446" s="13">
        <f>('[227]M13A_RESIDENTS'!$L$32)/1000</f>
        <v>39999.501</v>
      </c>
      <c r="S446" s="13">
        <f>('[227]M13A_RESIDENTS'!$L$31)/1000</f>
        <v>3466.332</v>
      </c>
      <c r="T446" s="13">
        <f>('[227]M13A_RESIDENTS'!$L$33)/1000</f>
        <v>999.55</v>
      </c>
      <c r="U446" s="49">
        <f>('[227]M13A_RESIDENTS'!$L$8)/1000</f>
        <v>22788.771</v>
      </c>
      <c r="V446" s="49">
        <f t="shared" si="57"/>
        <v>27481.4</v>
      </c>
      <c r="W446" s="13">
        <f>('[227]M13A_RESIDENTS'!$L$36)/1000</f>
        <v>15845.044</v>
      </c>
      <c r="X446" s="13">
        <f>('[227]M13A_RESIDENTS'!$L$35)/1000</f>
        <v>383.569</v>
      </c>
      <c r="Y446" s="13">
        <f>('[227]M13A_RESIDENTS'!$L$34)/1000</f>
        <v>11252.787</v>
      </c>
      <c r="Z446" s="49">
        <f>('[227]M13A_RESIDENTS'!$L$37)/1000</f>
        <v>42183.098</v>
      </c>
      <c r="AA446" s="49">
        <f t="shared" si="58"/>
        <v>6790.047</v>
      </c>
      <c r="AB446" s="13">
        <f>('[227]M13A_RESIDENTS'!$L$4)/1000</f>
        <v>842.338</v>
      </c>
      <c r="AC446" s="13">
        <f>('[227]M13A_RESIDENTS'!$L$5)/1000</f>
        <v>0</v>
      </c>
      <c r="AD446" s="13">
        <f>('[227]M13A_RESIDENTS'!$L$7)/1000</f>
        <v>5945.66</v>
      </c>
      <c r="AE446" s="13">
        <f>('[227]M13A_RESIDENTS'!$L$6)/1000</f>
        <v>2.049</v>
      </c>
      <c r="AF446" s="49">
        <f>('[227]M13A_RESIDENTS'!$L$38)/1000</f>
        <v>102435.586</v>
      </c>
      <c r="AG446" s="49">
        <f>('[227]M13A_RESIDENTS'!$L$45)/1000</f>
        <v>1582.414</v>
      </c>
      <c r="AH446" s="49">
        <f>('[227]M13A_RESIDENTS'!$L$46)/1000</f>
        <v>68344.79</v>
      </c>
      <c r="AI446" s="49">
        <f>('[227]M13A_RESIDENTS'!$L$39)/1000</f>
        <v>1802.95</v>
      </c>
      <c r="AJ446" s="49">
        <f>(SUM('[227]M13A_RESIDENTS'!$L$40:$L$43))/1000</f>
        <v>71823.523</v>
      </c>
      <c r="AK446" s="49">
        <f>('[227]M13A_RESIDENTS'!$L$44)/1000</f>
        <v>518624.663</v>
      </c>
      <c r="AL446" s="49">
        <f>('[227]SUMMARY'!$C$23)/1000</f>
        <v>84678.532</v>
      </c>
      <c r="AM446" s="14">
        <f t="shared" si="59"/>
        <v>1048665.496</v>
      </c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</row>
    <row r="447" spans="1:72" ht="15">
      <c r="A447" s="22">
        <v>44742</v>
      </c>
      <c r="B447" s="49">
        <f t="shared" si="54"/>
        <v>13380.025</v>
      </c>
      <c r="C447" s="13">
        <f>(SUM('[228]M13A_RESIDENTS'!$L$12:$L$18))/1000</f>
        <v>7461.803</v>
      </c>
      <c r="D447" s="13">
        <f>(SUM('[228]M13A_RESIDENTS'!$L$10:$L$11))/1000</f>
        <v>1972.252</v>
      </c>
      <c r="E447" s="13">
        <f>('[228]M13A_RESIDENTS'!$L$9)/1000</f>
        <v>3945.97</v>
      </c>
      <c r="F447" s="49">
        <f>(SUM('[228]M13A_RESIDENTS'!$L$28:$L$30))/1000</f>
        <v>2785.796</v>
      </c>
      <c r="G447" s="49">
        <f t="shared" si="55"/>
        <v>43449.740000000005</v>
      </c>
      <c r="H447" s="13">
        <f>('[228]M13A_RESIDENTS'!$L$25)/1000</f>
        <v>2502.43</v>
      </c>
      <c r="I447" s="13">
        <f>('[228]M13A_RESIDENTS'!$L$21)/1000</f>
        <v>17399.658</v>
      </c>
      <c r="J447" s="13">
        <f>('[228]M13A_RESIDENTS'!$L$24)/1000</f>
        <v>861.847</v>
      </c>
      <c r="K447" s="13">
        <f>('[228]M13A_RESIDENTS'!$L$26)/1000</f>
        <v>490.68</v>
      </c>
      <c r="L447" s="13">
        <f>('[228]M13A_RESIDENTS'!$L$22)/1000</f>
        <v>622.89</v>
      </c>
      <c r="M447" s="13">
        <f>('[228]M13A_RESIDENTS'!$L$23)/1000</f>
        <v>3219.865</v>
      </c>
      <c r="N447" s="13">
        <f>('[228]M13A_RESIDENTS'!$L$19)/1000</f>
        <v>1816.202</v>
      </c>
      <c r="O447" s="13">
        <f>('[228]M13A_RESIDENTS'!$L$20)/1000</f>
        <v>2181.202</v>
      </c>
      <c r="P447" s="13">
        <f>('[228]M13A_RESIDENTS'!$L$27)/1000</f>
        <v>14354.966</v>
      </c>
      <c r="Q447" s="49">
        <f t="shared" si="56"/>
        <v>42821.826</v>
      </c>
      <c r="R447" s="13">
        <f>('[228]M13A_RESIDENTS'!$L$32)/1000</f>
        <v>37984.467</v>
      </c>
      <c r="S447" s="13">
        <f>('[228]M13A_RESIDENTS'!$L$31)/1000</f>
        <v>3835.847</v>
      </c>
      <c r="T447" s="13">
        <f>('[228]M13A_RESIDENTS'!$L$33)/1000</f>
        <v>1001.512</v>
      </c>
      <c r="U447" s="49">
        <f>('[228]M13A_RESIDENTS'!$L$8)/1000</f>
        <v>23145.009</v>
      </c>
      <c r="V447" s="49">
        <f t="shared" si="57"/>
        <v>26451.595999999998</v>
      </c>
      <c r="W447" s="13">
        <f>('[228]M13A_RESIDENTS'!$L$36)/1000</f>
        <v>15769.05</v>
      </c>
      <c r="X447" s="13">
        <f>('[228]M13A_RESIDENTS'!$L$35)/1000</f>
        <v>387.524</v>
      </c>
      <c r="Y447" s="13">
        <f>('[228]M13A_RESIDENTS'!$L$34)/1000</f>
        <v>10295.022</v>
      </c>
      <c r="Z447" s="49">
        <f>('[228]M13A_RESIDENTS'!$L$37)/1000</f>
        <v>40774.724</v>
      </c>
      <c r="AA447" s="49">
        <f t="shared" si="58"/>
        <v>2262.608</v>
      </c>
      <c r="AB447" s="13">
        <f>('[228]M13A_RESIDENTS'!$L$4)/1000</f>
        <v>934.32</v>
      </c>
      <c r="AC447" s="13">
        <f>('[228]M13A_RESIDENTS'!$L$5)/1000</f>
        <v>0</v>
      </c>
      <c r="AD447" s="13">
        <f>('[228]M13A_RESIDENTS'!$L$7)/1000</f>
        <v>1324.101</v>
      </c>
      <c r="AE447" s="13">
        <f>('[228]M13A_RESIDENTS'!$L$6)/1000</f>
        <v>4.187</v>
      </c>
      <c r="AF447" s="49">
        <f>('[228]M13A_RESIDENTS'!$L$38)/1000</f>
        <v>102188.573</v>
      </c>
      <c r="AG447" s="49">
        <f>('[228]M13A_RESIDENTS'!$L$45)/1000</f>
        <v>1583.281</v>
      </c>
      <c r="AH447" s="49">
        <f>('[228]M13A_RESIDENTS'!$L$46)/1000</f>
        <v>67751.222</v>
      </c>
      <c r="AI447" s="49">
        <f>('[228]M13A_RESIDENTS'!$L$39)/1000</f>
        <v>1736.881</v>
      </c>
      <c r="AJ447" s="49">
        <f>(SUM('[228]M13A_RESIDENTS'!$L$40:$L$43))/1000</f>
        <v>73622.466</v>
      </c>
      <c r="AK447" s="49">
        <f>('[228]M13A_RESIDENTS'!$L$44)/1000</f>
        <v>524319.099</v>
      </c>
      <c r="AL447" s="49">
        <f>('[228]SUMMARY'!$C$23)/1000</f>
        <v>86830.558</v>
      </c>
      <c r="AM447" s="14">
        <f t="shared" si="59"/>
        <v>1053103.404</v>
      </c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</row>
    <row r="448" spans="1:72" ht="15">
      <c r="A448" s="22">
        <v>44773</v>
      </c>
      <c r="B448" s="49">
        <f t="shared" si="54"/>
        <v>12977.644999999999</v>
      </c>
      <c r="C448" s="13">
        <f>(SUM('[229]M13A_RESIDENTS'!$L$12:$L$18))/1000</f>
        <v>7117.891</v>
      </c>
      <c r="D448" s="13">
        <f>(SUM('[229]M13A_RESIDENTS'!$L$10:$L$11))/1000</f>
        <v>1918.007</v>
      </c>
      <c r="E448" s="13">
        <f>('[229]M13A_RESIDENTS'!$L$9)/1000</f>
        <v>3941.747</v>
      </c>
      <c r="F448" s="49">
        <f>(SUM('[229]M13A_RESIDENTS'!$L$28:$L$30))/1000</f>
        <v>2785.084</v>
      </c>
      <c r="G448" s="49">
        <f t="shared" si="55"/>
        <v>43334.894</v>
      </c>
      <c r="H448" s="13">
        <f>('[229]M13A_RESIDENTS'!$L$25)/1000</f>
        <v>2515.219</v>
      </c>
      <c r="I448" s="13">
        <f>('[229]M13A_RESIDENTS'!$L$21)/1000</f>
        <v>17355.105</v>
      </c>
      <c r="J448" s="13">
        <f>('[229]M13A_RESIDENTS'!$L$24)/1000</f>
        <v>856.05</v>
      </c>
      <c r="K448" s="13">
        <f>('[229]M13A_RESIDENTS'!$L$26)/1000</f>
        <v>488.217</v>
      </c>
      <c r="L448" s="13">
        <f>('[229]M13A_RESIDENTS'!$L$22)/1000</f>
        <v>620.155</v>
      </c>
      <c r="M448" s="13">
        <f>('[229]M13A_RESIDENTS'!$L$23)/1000</f>
        <v>3261.997</v>
      </c>
      <c r="N448" s="13">
        <f>('[229]M13A_RESIDENTS'!$L$19)/1000</f>
        <v>1772.444</v>
      </c>
      <c r="O448" s="13">
        <f>('[229]M13A_RESIDENTS'!$L$20)/1000</f>
        <v>2290.577</v>
      </c>
      <c r="P448" s="13">
        <f>('[229]M13A_RESIDENTS'!$L$27)/1000</f>
        <v>14175.13</v>
      </c>
      <c r="Q448" s="49">
        <f t="shared" si="56"/>
        <v>43902.208</v>
      </c>
      <c r="R448" s="13">
        <f>('[229]M13A_RESIDENTS'!$L$32)/1000</f>
        <v>41480.024</v>
      </c>
      <c r="S448" s="13">
        <f>('[229]M13A_RESIDENTS'!$L$31)/1000</f>
        <v>1437.305</v>
      </c>
      <c r="T448" s="13">
        <f>('[229]M13A_RESIDENTS'!$L$33)/1000</f>
        <v>984.879</v>
      </c>
      <c r="U448" s="49">
        <f>('[229]M13A_RESIDENTS'!$L$8)/1000</f>
        <v>22233.558</v>
      </c>
      <c r="V448" s="49">
        <f t="shared" si="57"/>
        <v>26112.453999999998</v>
      </c>
      <c r="W448" s="13">
        <f>('[229]M13A_RESIDENTS'!$L$36)/1000</f>
        <v>16023.93</v>
      </c>
      <c r="X448" s="13">
        <f>('[229]M13A_RESIDENTS'!$L$35)/1000</f>
        <v>371.458</v>
      </c>
      <c r="Y448" s="13">
        <f>('[229]M13A_RESIDENTS'!$L$34)/1000</f>
        <v>9717.066</v>
      </c>
      <c r="Z448" s="49">
        <f>('[229]M13A_RESIDENTS'!$L$37)/1000</f>
        <v>40575.84</v>
      </c>
      <c r="AA448" s="49">
        <f t="shared" si="58"/>
        <v>7670.7970000000005</v>
      </c>
      <c r="AB448" s="13">
        <f>('[229]M13A_RESIDENTS'!$L$4)/1000</f>
        <v>982.834</v>
      </c>
      <c r="AC448" s="13">
        <f>('[229]M13A_RESIDENTS'!$L$5)/1000</f>
        <v>0.001</v>
      </c>
      <c r="AD448" s="13">
        <f>('[229]M13A_RESIDENTS'!$L$7)/1000</f>
        <v>6684.654</v>
      </c>
      <c r="AE448" s="13">
        <f>('[229]M13A_RESIDENTS'!$L$6)/1000</f>
        <v>3.308</v>
      </c>
      <c r="AF448" s="49">
        <f>('[229]M13A_RESIDENTS'!$L$38)/1000</f>
        <v>103532.635</v>
      </c>
      <c r="AG448" s="49">
        <f>('[229]M13A_RESIDENTS'!$L$45)/1000</f>
        <v>1581.364</v>
      </c>
      <c r="AH448" s="49">
        <f>('[229]M13A_RESIDENTS'!$L$46)/1000</f>
        <v>67396.241</v>
      </c>
      <c r="AI448" s="49">
        <f>('[229]M13A_RESIDENTS'!$L$39)/1000</f>
        <v>1704.482</v>
      </c>
      <c r="AJ448" s="49">
        <f>(SUM('[229]M13A_RESIDENTS'!$L$40:$L$43))/1000</f>
        <v>77696.465</v>
      </c>
      <c r="AK448" s="49">
        <f>('[229]M13A_RESIDENTS'!$L$44)/1000</f>
        <v>533472.851</v>
      </c>
      <c r="AL448" s="49">
        <f>('[229]SUMMARY'!$C$23)/1000</f>
        <v>87310.643</v>
      </c>
      <c r="AM448" s="14">
        <f t="shared" si="59"/>
        <v>1072287.161</v>
      </c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</row>
    <row r="449" spans="1:72" ht="15">
      <c r="A449" s="22">
        <v>44804</v>
      </c>
      <c r="B449" s="49">
        <f t="shared" si="54"/>
        <v>13080.129</v>
      </c>
      <c r="C449" s="13">
        <f>(SUM('[230]M13A_RESIDENTS'!$L$12:$L$18))/1000</f>
        <v>7212.095</v>
      </c>
      <c r="D449" s="13">
        <f>(SUM('[230]M13A_RESIDENTS'!$L$10:$L$11))/1000</f>
        <v>1927.345</v>
      </c>
      <c r="E449" s="13">
        <f>('[230]M13A_RESIDENTS'!$L$9)/1000</f>
        <v>3940.689</v>
      </c>
      <c r="F449" s="49">
        <f>(SUM('[230]M13A_RESIDENTS'!$L$28:$L$30))/1000</f>
        <v>2748.56</v>
      </c>
      <c r="G449" s="49">
        <f t="shared" si="55"/>
        <v>42950.72400000001</v>
      </c>
      <c r="H449" s="13">
        <f>('[230]M13A_RESIDENTS'!$L$25)/1000</f>
        <v>2567.822</v>
      </c>
      <c r="I449" s="13">
        <f>('[230]M13A_RESIDENTS'!$L$21)/1000</f>
        <v>17212.187</v>
      </c>
      <c r="J449" s="13">
        <f>('[230]M13A_RESIDENTS'!$L$24)/1000</f>
        <v>847.859</v>
      </c>
      <c r="K449" s="13">
        <f>('[230]M13A_RESIDENTS'!$L$26)/1000</f>
        <v>487.669</v>
      </c>
      <c r="L449" s="13">
        <f>('[230]M13A_RESIDENTS'!$L$22)/1000</f>
        <v>638</v>
      </c>
      <c r="M449" s="13">
        <f>('[230]M13A_RESIDENTS'!$L$23)/1000</f>
        <v>3236.093</v>
      </c>
      <c r="N449" s="13">
        <f>('[230]M13A_RESIDENTS'!$L$19)/1000</f>
        <v>1714.201</v>
      </c>
      <c r="O449" s="13">
        <f>('[230]M13A_RESIDENTS'!$L$20)/1000</f>
        <v>2290.041</v>
      </c>
      <c r="P449" s="13">
        <f>('[230]M13A_RESIDENTS'!$L$27)/1000</f>
        <v>13956.852</v>
      </c>
      <c r="Q449" s="49">
        <f t="shared" si="56"/>
        <v>44684.64600000001</v>
      </c>
      <c r="R449" s="13">
        <f>('[230]M13A_RESIDENTS'!$L$32)/1000</f>
        <v>38821.762</v>
      </c>
      <c r="S449" s="13">
        <f>('[230]M13A_RESIDENTS'!$L$31)/1000</f>
        <v>4937.563</v>
      </c>
      <c r="T449" s="13">
        <f>('[230]M13A_RESIDENTS'!$L$33)/1000</f>
        <v>925.321</v>
      </c>
      <c r="U449" s="49">
        <f>('[230]M13A_RESIDENTS'!$L$8)/1000</f>
        <v>25703.874</v>
      </c>
      <c r="V449" s="49">
        <f t="shared" si="57"/>
        <v>25943.239999999998</v>
      </c>
      <c r="W449" s="13">
        <f>('[230]M13A_RESIDENTS'!$L$36)/1000</f>
        <v>16556.779</v>
      </c>
      <c r="X449" s="13">
        <f>('[230]M13A_RESIDENTS'!$L$35)/1000</f>
        <v>369.795</v>
      </c>
      <c r="Y449" s="13">
        <f>('[230]M13A_RESIDENTS'!$L$34)/1000</f>
        <v>9016.666</v>
      </c>
      <c r="Z449" s="49">
        <f>('[230]M13A_RESIDENTS'!$L$37)/1000</f>
        <v>39875.613</v>
      </c>
      <c r="AA449" s="49">
        <f t="shared" si="58"/>
        <v>7444.033</v>
      </c>
      <c r="AB449" s="13">
        <f>('[230]M13A_RESIDENTS'!$L$4)/1000</f>
        <v>970.446</v>
      </c>
      <c r="AC449" s="13">
        <f>('[230]M13A_RESIDENTS'!$L$5)/1000</f>
        <v>0.004</v>
      </c>
      <c r="AD449" s="13">
        <f>('[230]M13A_RESIDENTS'!$L$7)/1000</f>
        <v>6470.654</v>
      </c>
      <c r="AE449" s="13">
        <f>('[230]M13A_RESIDENTS'!$L$6)/1000</f>
        <v>2.929</v>
      </c>
      <c r="AF449" s="49">
        <f>('[230]M13A_RESIDENTS'!$L$38)/1000</f>
        <v>103849.013</v>
      </c>
      <c r="AG449" s="49">
        <f>('[230]M13A_RESIDENTS'!$L$45)/1000</f>
        <v>1575.385</v>
      </c>
      <c r="AH449" s="49">
        <f>('[230]M13A_RESIDENTS'!$L$46)/1000</f>
        <v>66881.528</v>
      </c>
      <c r="AI449" s="49">
        <f>('[230]M13A_RESIDENTS'!$L$39)/1000</f>
        <v>1681.106</v>
      </c>
      <c r="AJ449" s="49">
        <f>(SUM('[230]M13A_RESIDENTS'!$L$40:$L$43))/1000</f>
        <v>79164.2</v>
      </c>
      <c r="AK449" s="49">
        <f>('[230]M13A_RESIDENTS'!$L$44)/1000</f>
        <v>536243.877</v>
      </c>
      <c r="AL449" s="49">
        <f>('[230]SUMMARY'!$C$23)/1000</f>
        <v>85398.167</v>
      </c>
      <c r="AM449" s="14">
        <f t="shared" si="59"/>
        <v>1077224.095</v>
      </c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</row>
    <row r="450" spans="1:72" ht="15">
      <c r="A450" s="22">
        <v>44834</v>
      </c>
      <c r="B450" s="49">
        <f t="shared" si="54"/>
        <v>13777.966</v>
      </c>
      <c r="C450" s="13">
        <f>(SUM('[231]M13A_RESIDENTS'!$L$12:$L$18))/1000</f>
        <v>7313.605</v>
      </c>
      <c r="D450" s="13">
        <f>(SUM('[231]M13A_RESIDENTS'!$L$10:$L$11))/1000</f>
        <v>2641.948</v>
      </c>
      <c r="E450" s="13">
        <f>('[231]M13A_RESIDENTS'!$L$9)/1000</f>
        <v>3822.413</v>
      </c>
      <c r="F450" s="49">
        <f>(SUM('[231]M13A_RESIDENTS'!$L$28:$L$30))/1000</f>
        <v>2746.216</v>
      </c>
      <c r="G450" s="49">
        <f t="shared" si="55"/>
        <v>42551.55100000001</v>
      </c>
      <c r="H450" s="13">
        <f>('[231]M13A_RESIDENTS'!$L$25)/1000</f>
        <v>2450.652</v>
      </c>
      <c r="I450" s="13">
        <f>('[231]M13A_RESIDENTS'!$L$21)/1000</f>
        <v>17191.006</v>
      </c>
      <c r="J450" s="13">
        <f>('[231]M13A_RESIDENTS'!$L$24)/1000</f>
        <v>848.014</v>
      </c>
      <c r="K450" s="13">
        <f>('[231]M13A_RESIDENTS'!$L$26)/1000</f>
        <v>498.351</v>
      </c>
      <c r="L450" s="13">
        <f>('[231]M13A_RESIDENTS'!$L$22)/1000</f>
        <v>639.312</v>
      </c>
      <c r="M450" s="13">
        <f>('[231]M13A_RESIDENTS'!$L$23)/1000</f>
        <v>3246.446</v>
      </c>
      <c r="N450" s="13">
        <f>('[231]M13A_RESIDENTS'!$L$19)/1000</f>
        <v>1840.847</v>
      </c>
      <c r="O450" s="13">
        <f>('[231]M13A_RESIDENTS'!$L$20)/1000</f>
        <v>2326.677</v>
      </c>
      <c r="P450" s="13">
        <f>('[231]M13A_RESIDENTS'!$L$27)/1000</f>
        <v>13510.246</v>
      </c>
      <c r="Q450" s="49">
        <f t="shared" si="56"/>
        <v>46087.343</v>
      </c>
      <c r="R450" s="13">
        <f>('[231]M13A_RESIDENTS'!$L$32)/1000</f>
        <v>40145.295</v>
      </c>
      <c r="S450" s="13">
        <f>('[231]M13A_RESIDENTS'!$L$31)/1000</f>
        <v>5029.557</v>
      </c>
      <c r="T450" s="13">
        <f>('[231]M13A_RESIDENTS'!$L$33)/1000</f>
        <v>912.491</v>
      </c>
      <c r="U450" s="49">
        <f>('[231]M13A_RESIDENTS'!$L$8)/1000</f>
        <v>29437.529</v>
      </c>
      <c r="V450" s="49">
        <f t="shared" si="57"/>
        <v>26140.716</v>
      </c>
      <c r="W450" s="13">
        <f>('[231]M13A_RESIDENTS'!$L$36)/1000</f>
        <v>16875.819</v>
      </c>
      <c r="X450" s="13">
        <f>('[231]M13A_RESIDENTS'!$L$35)/1000</f>
        <v>371.297</v>
      </c>
      <c r="Y450" s="13">
        <f>('[231]M13A_RESIDENTS'!$L$34)/1000</f>
        <v>8893.6</v>
      </c>
      <c r="Z450" s="49">
        <f>('[231]M13A_RESIDENTS'!$L$37)/1000</f>
        <v>40159.546</v>
      </c>
      <c r="AA450" s="49">
        <f t="shared" si="58"/>
        <v>3123.7400000000002</v>
      </c>
      <c r="AB450" s="13">
        <f>('[231]M13A_RESIDENTS'!$L$4)/1000</f>
        <v>1192.083</v>
      </c>
      <c r="AC450" s="13">
        <f>('[231]M13A_RESIDENTS'!$L$5)/1000</f>
        <v>2.812</v>
      </c>
      <c r="AD450" s="13">
        <f>('[231]M13A_RESIDENTS'!$L$7)/1000</f>
        <v>1927.316</v>
      </c>
      <c r="AE450" s="13">
        <f>('[231]M13A_RESIDENTS'!$L$6)/1000</f>
        <v>1.529</v>
      </c>
      <c r="AF450" s="49">
        <f>('[231]M13A_RESIDENTS'!$L$38)/1000</f>
        <v>104357.16</v>
      </c>
      <c r="AG450" s="49">
        <f>('[231]M13A_RESIDENTS'!$L$45)/1000</f>
        <v>1562.602</v>
      </c>
      <c r="AH450" s="49">
        <f>('[231]M13A_RESIDENTS'!$L$46)/1000</f>
        <v>67636.743</v>
      </c>
      <c r="AI450" s="49">
        <f>('[231]M13A_RESIDENTS'!$L$39)/1000</f>
        <v>1682.747</v>
      </c>
      <c r="AJ450" s="49">
        <f>(SUM('[231]M13A_RESIDENTS'!$L$40:$L$43))/1000</f>
        <v>83883.915</v>
      </c>
      <c r="AK450" s="49">
        <f>('[231]M13A_RESIDENTS'!$L$44)/1000</f>
        <v>546964.512</v>
      </c>
      <c r="AL450" s="49">
        <f>('[231]SUMMARY'!$C$23)/1000</f>
        <v>86306.639</v>
      </c>
      <c r="AM450" s="14">
        <f t="shared" si="59"/>
        <v>1096418.9249999998</v>
      </c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</row>
    <row r="451" spans="1:72" ht="15">
      <c r="A451" s="22">
        <v>44865</v>
      </c>
      <c r="B451" s="49">
        <f aca="true" t="shared" si="60" ref="B451:B456">SUM(C451:E451)</f>
        <v>13665.618</v>
      </c>
      <c r="C451" s="13">
        <f>(SUM('[232]M13A_RESIDENTS'!$L$12:$L$18))/1000</f>
        <v>7209.413</v>
      </c>
      <c r="D451" s="13">
        <f>(SUM('[232]M13A_RESIDENTS'!$L$10:$L$11))/1000</f>
        <v>2634.863</v>
      </c>
      <c r="E451" s="13">
        <f>('[232]M13A_RESIDENTS'!$L$9)/1000</f>
        <v>3821.342</v>
      </c>
      <c r="F451" s="49">
        <f>(SUM('[232]M13A_RESIDENTS'!$L$28:$L$30))/1000</f>
        <v>2760.515</v>
      </c>
      <c r="G451" s="49">
        <f aca="true" t="shared" si="61" ref="G451:G456">SUM(H451:P451)</f>
        <v>43338.311</v>
      </c>
      <c r="H451" s="13">
        <f>('[232]M13A_RESIDENTS'!$L$25)/1000</f>
        <v>4138.391</v>
      </c>
      <c r="I451" s="13">
        <f>('[232]M13A_RESIDENTS'!$L$21)/1000</f>
        <v>17459.222</v>
      </c>
      <c r="J451" s="13">
        <f>('[232]M13A_RESIDENTS'!$L$24)/1000</f>
        <v>847.432</v>
      </c>
      <c r="K451" s="13">
        <f>('[232]M13A_RESIDENTS'!$L$26)/1000</f>
        <v>498.671</v>
      </c>
      <c r="L451" s="13">
        <f>('[232]M13A_RESIDENTS'!$L$22)/1000</f>
        <v>661.897</v>
      </c>
      <c r="M451" s="13">
        <f>('[232]M13A_RESIDENTS'!$L$23)/1000</f>
        <v>3240.691</v>
      </c>
      <c r="N451" s="13">
        <f>('[232]M13A_RESIDENTS'!$L$19)/1000</f>
        <v>1814.171</v>
      </c>
      <c r="O451" s="13">
        <f>('[232]M13A_RESIDENTS'!$L$20)/1000</f>
        <v>2261.213</v>
      </c>
      <c r="P451" s="13">
        <f>('[232]M13A_RESIDENTS'!$L$27)/1000</f>
        <v>12416.623</v>
      </c>
      <c r="Q451" s="49">
        <f aca="true" t="shared" si="62" ref="Q451:Q456">SUM(R451:T451)</f>
        <v>46631.564000000006</v>
      </c>
      <c r="R451" s="13">
        <f>('[232]M13A_RESIDENTS'!$L$32)/1000</f>
        <v>40599.107</v>
      </c>
      <c r="S451" s="13">
        <f>('[232]M13A_RESIDENTS'!$L$31)/1000</f>
        <v>5163.169</v>
      </c>
      <c r="T451" s="13">
        <f>('[232]M13A_RESIDENTS'!$L$33)/1000</f>
        <v>869.288</v>
      </c>
      <c r="U451" s="49">
        <f>('[232]M13A_RESIDENTS'!$L$8)/1000</f>
        <v>28766.214</v>
      </c>
      <c r="V451" s="49">
        <f aca="true" t="shared" si="63" ref="V451:V456">SUM(W451:Y451)</f>
        <v>27691.584</v>
      </c>
      <c r="W451" s="13">
        <f>('[232]M13A_RESIDENTS'!$L$36)/1000</f>
        <v>18181.893</v>
      </c>
      <c r="X451" s="13">
        <f>('[232]M13A_RESIDENTS'!$L$35)/1000</f>
        <v>380.921</v>
      </c>
      <c r="Y451" s="13">
        <f>('[232]M13A_RESIDENTS'!$L$34)/1000</f>
        <v>9128.77</v>
      </c>
      <c r="Z451" s="49">
        <f>('[232]M13A_RESIDENTS'!$L$37)/1000</f>
        <v>40883.179</v>
      </c>
      <c r="AA451" s="49">
        <f aca="true" t="shared" si="64" ref="AA451:AA456">SUM(AB451:AE451)</f>
        <v>7386.014999999999</v>
      </c>
      <c r="AB451" s="13">
        <f>('[232]M13A_RESIDENTS'!$L$4)/1000</f>
        <v>1054.076</v>
      </c>
      <c r="AC451" s="13">
        <f>('[232]M13A_RESIDENTS'!$L$5)/1000</f>
        <v>2.337</v>
      </c>
      <c r="AD451" s="13">
        <f>('[232]M13A_RESIDENTS'!$L$7)/1000</f>
        <v>6326.869</v>
      </c>
      <c r="AE451" s="13">
        <f>('[232]M13A_RESIDENTS'!$L$6)/1000</f>
        <v>2.733</v>
      </c>
      <c r="AF451" s="49">
        <f>('[232]M13A_RESIDENTS'!$L$38)/1000</f>
        <v>103812.292</v>
      </c>
      <c r="AG451" s="49">
        <f>('[232]M13A_RESIDENTS'!$L$45)/1000</f>
        <v>1602.645</v>
      </c>
      <c r="AH451" s="49">
        <f>('[232]M13A_RESIDENTS'!$L$46)/1000</f>
        <v>75279.093</v>
      </c>
      <c r="AI451" s="49">
        <f>('[232]M13A_RESIDENTS'!$L$39)/1000</f>
        <v>1662.115</v>
      </c>
      <c r="AJ451" s="49">
        <f>(SUM('[232]M13A_RESIDENTS'!$L$40:$L$43))/1000</f>
        <v>82808.389</v>
      </c>
      <c r="AK451" s="49">
        <f>('[232]M13A_RESIDENTS'!$L$44)/1000</f>
        <v>552856.309</v>
      </c>
      <c r="AL451" s="49">
        <f>('[232]SUMMARY'!$C$23)/1000</f>
        <v>87273.134</v>
      </c>
      <c r="AM451" s="14">
        <f aca="true" t="shared" si="65" ref="AM451:AM456">+B451+F451+G451+Q451+U451+V451+Z451+AA451+AF451+AH451+AI451+AJ451+AK451+AL451+AG451</f>
        <v>1116416.977</v>
      </c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</row>
    <row r="452" spans="1:72" ht="15">
      <c r="A452" s="22">
        <v>44895</v>
      </c>
      <c r="B452" s="49">
        <f t="shared" si="60"/>
        <v>13572.393</v>
      </c>
      <c r="C452" s="13">
        <f>(SUM('[233]M13A_RESIDENTS'!$L$12:$L$18))/1000</f>
        <v>7082.796</v>
      </c>
      <c r="D452" s="13">
        <f>(SUM('[233]M13A_RESIDENTS'!$L$10:$L$11))/1000</f>
        <v>2669.134</v>
      </c>
      <c r="E452" s="13">
        <f>('[233]M13A_RESIDENTS'!$L$9)/1000</f>
        <v>3820.463</v>
      </c>
      <c r="F452" s="49">
        <f>(SUM('[233]M13A_RESIDENTS'!$L$28:$L$30))/1000</f>
        <v>2732.803</v>
      </c>
      <c r="G452" s="49">
        <f t="shared" si="61"/>
        <v>43510.601</v>
      </c>
      <c r="H452" s="13">
        <f>('[233]M13A_RESIDENTS'!$L$25)/1000</f>
        <v>4097.57</v>
      </c>
      <c r="I452" s="13">
        <f>('[233]M13A_RESIDENTS'!$L$21)/1000</f>
        <v>17381.697</v>
      </c>
      <c r="J452" s="13">
        <f>('[233]M13A_RESIDENTS'!$L$24)/1000</f>
        <v>832.189</v>
      </c>
      <c r="K452" s="13">
        <f>('[233]M13A_RESIDENTS'!$L$26)/1000</f>
        <v>499.899</v>
      </c>
      <c r="L452" s="13">
        <f>('[233]M13A_RESIDENTS'!$L$22)/1000</f>
        <v>673.255</v>
      </c>
      <c r="M452" s="13">
        <f>('[233]M13A_RESIDENTS'!$L$23)/1000</f>
        <v>3259.98</v>
      </c>
      <c r="N452" s="13">
        <f>('[233]M13A_RESIDENTS'!$L$19)/1000</f>
        <v>1849.308</v>
      </c>
      <c r="O452" s="13">
        <f>('[233]M13A_RESIDENTS'!$L$20)/1000</f>
        <v>2299.29</v>
      </c>
      <c r="P452" s="13">
        <f>('[233]M13A_RESIDENTS'!$L$27)/1000</f>
        <v>12617.413</v>
      </c>
      <c r="Q452" s="49">
        <f t="shared" si="62"/>
        <v>47535.176</v>
      </c>
      <c r="R452" s="13">
        <f>('[233]M13A_RESIDENTS'!$L$32)/1000</f>
        <v>41119.752</v>
      </c>
      <c r="S452" s="13">
        <f>('[233]M13A_RESIDENTS'!$L$31)/1000</f>
        <v>5559.494</v>
      </c>
      <c r="T452" s="13">
        <f>('[233]M13A_RESIDENTS'!$L$33)/1000</f>
        <v>855.93</v>
      </c>
      <c r="U452" s="49">
        <f>('[233]M13A_RESIDENTS'!$L$8)/1000</f>
        <v>29674.949</v>
      </c>
      <c r="V452" s="49">
        <f t="shared" si="63"/>
        <v>25368.131</v>
      </c>
      <c r="W452" s="13">
        <f>('[233]M13A_RESIDENTS'!$L$36)/1000</f>
        <v>15817.622</v>
      </c>
      <c r="X452" s="13">
        <f>('[233]M13A_RESIDENTS'!$L$35)/1000</f>
        <v>370.236</v>
      </c>
      <c r="Y452" s="13">
        <f>('[233]M13A_RESIDENTS'!$L$34)/1000</f>
        <v>9180.273</v>
      </c>
      <c r="Z452" s="49">
        <f>('[233]M13A_RESIDENTS'!$L$37)/1000</f>
        <v>40908.527</v>
      </c>
      <c r="AA452" s="49">
        <f t="shared" si="64"/>
        <v>7406.512</v>
      </c>
      <c r="AB452" s="13">
        <f>('[233]M13A_RESIDENTS'!$L$4)/1000</f>
        <v>880.009</v>
      </c>
      <c r="AC452" s="13">
        <f>('[233]M13A_RESIDENTS'!$L$5)/1000</f>
        <v>5.675</v>
      </c>
      <c r="AD452" s="13">
        <f>('[233]M13A_RESIDENTS'!$L$7)/1000</f>
        <v>6517.699</v>
      </c>
      <c r="AE452" s="13">
        <f>('[233]M13A_RESIDENTS'!$L$6)/1000</f>
        <v>3.129</v>
      </c>
      <c r="AF452" s="49">
        <f>('[233]M13A_RESIDENTS'!$L$38)/1000</f>
        <v>103939.785</v>
      </c>
      <c r="AG452" s="49">
        <f>('[233]M13A_RESIDENTS'!$L$45)/1000</f>
        <v>1596.785</v>
      </c>
      <c r="AH452" s="49">
        <f>('[233]M13A_RESIDENTS'!$L$46)/1000</f>
        <v>78461.445</v>
      </c>
      <c r="AI452" s="49">
        <f>('[233]M13A_RESIDENTS'!$L$39)/1000</f>
        <v>1663.176</v>
      </c>
      <c r="AJ452" s="49">
        <f>(SUM('[233]M13A_RESIDENTS'!$L$40:$L$43))/1000</f>
        <v>82987.965</v>
      </c>
      <c r="AK452" s="49">
        <f>('[233]M13A_RESIDENTS'!$L$44)/1000</f>
        <v>559180.455</v>
      </c>
      <c r="AL452" s="49">
        <f>('[233]SUMMARY'!$C$23)/1000</f>
        <v>87717.173</v>
      </c>
      <c r="AM452" s="14">
        <f t="shared" si="65"/>
        <v>1126255.876</v>
      </c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</row>
    <row r="453" spans="1:72" ht="15">
      <c r="A453" s="22">
        <v>44926</v>
      </c>
      <c r="B453" s="49">
        <f t="shared" si="60"/>
        <v>14188.705000000002</v>
      </c>
      <c r="C453" s="13">
        <f>(SUM('[234]M13A_RESIDENTS'!$L$12:$L$18))/1000</f>
        <v>7777.043</v>
      </c>
      <c r="D453" s="13">
        <f>(SUM('[234]M13A_RESIDENTS'!$L$10:$L$11))/1000</f>
        <v>2592.425</v>
      </c>
      <c r="E453" s="13">
        <f>('[234]M13A_RESIDENTS'!$L$9)/1000</f>
        <v>3819.237</v>
      </c>
      <c r="F453" s="49">
        <f>(SUM('[234]M13A_RESIDENTS'!$L$28:$L$30))/1000</f>
        <v>2667.505</v>
      </c>
      <c r="G453" s="49">
        <f t="shared" si="61"/>
        <v>44091.861</v>
      </c>
      <c r="H453" s="13">
        <f>('[234]M13A_RESIDENTS'!$L$25)/1000</f>
        <v>3898.44</v>
      </c>
      <c r="I453" s="13">
        <f>('[234]M13A_RESIDENTS'!$L$21)/1000</f>
        <v>17696.135</v>
      </c>
      <c r="J453" s="13">
        <f>('[234]M13A_RESIDENTS'!$L$24)/1000</f>
        <v>819.371</v>
      </c>
      <c r="K453" s="13">
        <f>('[234]M13A_RESIDENTS'!$L$26)/1000</f>
        <v>485.942</v>
      </c>
      <c r="L453" s="13">
        <f>('[234]M13A_RESIDENTS'!$L$22)/1000</f>
        <v>684.785</v>
      </c>
      <c r="M453" s="13">
        <f>('[234]M13A_RESIDENTS'!$L$23)/1000</f>
        <v>3218.069</v>
      </c>
      <c r="N453" s="13">
        <f>('[234]M13A_RESIDENTS'!$L$19)/1000</f>
        <v>1789.482</v>
      </c>
      <c r="O453" s="13">
        <f>('[234]M13A_RESIDENTS'!$L$20)/1000</f>
        <v>2260.221</v>
      </c>
      <c r="P453" s="13">
        <f>('[234]M13A_RESIDENTS'!$L$27)/1000</f>
        <v>13239.416</v>
      </c>
      <c r="Q453" s="49">
        <f t="shared" si="62"/>
        <v>53944.443</v>
      </c>
      <c r="R453" s="13">
        <f>('[234]M13A_RESIDENTS'!$L$32)/1000</f>
        <v>51222.697</v>
      </c>
      <c r="S453" s="13">
        <f>('[234]M13A_RESIDENTS'!$L$31)/1000</f>
        <v>1867.663</v>
      </c>
      <c r="T453" s="13">
        <f>('[234]M13A_RESIDENTS'!$L$33)/1000</f>
        <v>854.083</v>
      </c>
      <c r="U453" s="49">
        <f>('[234]M13A_RESIDENTS'!$L$8)/1000</f>
        <v>30597.882</v>
      </c>
      <c r="V453" s="49">
        <f t="shared" si="63"/>
        <v>24942.412000000004</v>
      </c>
      <c r="W453" s="13">
        <f>('[234]M13A_RESIDENTS'!$L$36)/1000</f>
        <v>15463.789</v>
      </c>
      <c r="X453" s="13">
        <f>('[234]M13A_RESIDENTS'!$L$35)/1000</f>
        <v>375.825</v>
      </c>
      <c r="Y453" s="13">
        <f>('[234]M13A_RESIDENTS'!$L$34)/1000</f>
        <v>9102.798</v>
      </c>
      <c r="Z453" s="49">
        <f>('[234]M13A_RESIDENTS'!$L$37)/1000</f>
        <v>39591.818</v>
      </c>
      <c r="AA453" s="49">
        <f t="shared" si="64"/>
        <v>8683.123</v>
      </c>
      <c r="AB453" s="13">
        <f>('[234]M13A_RESIDENTS'!$L$4)/1000</f>
        <v>791.187</v>
      </c>
      <c r="AC453" s="13">
        <f>('[234]M13A_RESIDENTS'!$L$5)/1000</f>
        <v>5.686</v>
      </c>
      <c r="AD453" s="13">
        <f>('[234]M13A_RESIDENTS'!$L$7)/1000</f>
        <v>6341.705</v>
      </c>
      <c r="AE453" s="13">
        <f>('[234]M13A_RESIDENTS'!$L$6)/1000</f>
        <v>1544.545</v>
      </c>
      <c r="AF453" s="49">
        <f>('[234]M13A_RESIDENTS'!$L$38)/1000</f>
        <v>105081.225</v>
      </c>
      <c r="AG453" s="49">
        <f>('[234]M13A_RESIDENTS'!$L$45)/1000</f>
        <v>1570.449</v>
      </c>
      <c r="AH453" s="49">
        <f>('[234]M13A_RESIDENTS'!$L$46)/1000</f>
        <v>80515.307</v>
      </c>
      <c r="AI453" s="49">
        <f>('[234]M13A_RESIDENTS'!$L$39)/1000</f>
        <v>1594.692</v>
      </c>
      <c r="AJ453" s="49">
        <f>(SUM('[234]M13A_RESIDENTS'!$L$40:$L$43))/1000</f>
        <v>84513.143</v>
      </c>
      <c r="AK453" s="49">
        <f>('[234]M13A_RESIDENTS'!$L$44)/1000</f>
        <v>564092.257</v>
      </c>
      <c r="AL453" s="49">
        <f>('[234]SUMMARY'!$C$23)/1000</f>
        <v>90264.127</v>
      </c>
      <c r="AM453" s="14">
        <f t="shared" si="65"/>
        <v>1146338.9490000003</v>
      </c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</row>
    <row r="454" spans="1:72" ht="15">
      <c r="A454" s="22">
        <v>44957</v>
      </c>
      <c r="B454" s="49">
        <f t="shared" si="60"/>
        <v>13250.582</v>
      </c>
      <c r="C454" s="13">
        <f>(SUM('[235]M13A_RESIDENTS'!$L$12:$L$18))/1000</f>
        <v>7442.75</v>
      </c>
      <c r="D454" s="13">
        <f>(SUM('[235]M13A_RESIDENTS'!$L$10:$L$11))/1000</f>
        <v>2106.796</v>
      </c>
      <c r="E454" s="13">
        <f>('[235]M13A_RESIDENTS'!$L$9)/1000</f>
        <v>3701.036</v>
      </c>
      <c r="F454" s="49">
        <f>(SUM('[235]M13A_RESIDENTS'!$L$28:$L$30))/1000</f>
        <v>2766.019</v>
      </c>
      <c r="G454" s="49">
        <f t="shared" si="61"/>
        <v>43160.724</v>
      </c>
      <c r="H454" s="13">
        <f>('[235]M13A_RESIDENTS'!$L$25)/1000</f>
        <v>3876.628</v>
      </c>
      <c r="I454" s="13">
        <f>('[235]M13A_RESIDENTS'!$L$21)/1000</f>
        <v>17606.428</v>
      </c>
      <c r="J454" s="13">
        <f>('[235]M13A_RESIDENTS'!$L$24)/1000</f>
        <v>800.906</v>
      </c>
      <c r="K454" s="13">
        <f>('[235]M13A_RESIDENTS'!$L$26)/1000</f>
        <v>462.186</v>
      </c>
      <c r="L454" s="13">
        <f>('[235]M13A_RESIDENTS'!$L$22)/1000</f>
        <v>635.123</v>
      </c>
      <c r="M454" s="13">
        <f>('[235]M13A_RESIDENTS'!$L$23)/1000</f>
        <v>3376.238</v>
      </c>
      <c r="N454" s="13">
        <f>('[235]M13A_RESIDENTS'!$L$19)/1000</f>
        <v>1645.184</v>
      </c>
      <c r="O454" s="13">
        <f>('[235]M13A_RESIDENTS'!$L$20)/1000</f>
        <v>2228.29</v>
      </c>
      <c r="P454" s="13">
        <f>('[235]M13A_RESIDENTS'!$L$27)/1000</f>
        <v>12529.741</v>
      </c>
      <c r="Q454" s="49">
        <f t="shared" si="62"/>
        <v>53371.935000000005</v>
      </c>
      <c r="R454" s="13">
        <f>('[235]M13A_RESIDENTS'!$L$32)/1000</f>
        <v>50706.637</v>
      </c>
      <c r="S454" s="13">
        <f>('[235]M13A_RESIDENTS'!$L$31)/1000</f>
        <v>1867.65</v>
      </c>
      <c r="T454" s="13">
        <f>('[235]M13A_RESIDENTS'!$L$33)/1000</f>
        <v>797.648</v>
      </c>
      <c r="U454" s="49">
        <f>('[235]M13A_RESIDENTS'!$L$8)/1000</f>
        <v>29959.086</v>
      </c>
      <c r="V454" s="49">
        <f t="shared" si="63"/>
        <v>25265.714</v>
      </c>
      <c r="W454" s="13">
        <f>('[235]M13A_RESIDENTS'!$L$36)/1000</f>
        <v>15864.221</v>
      </c>
      <c r="X454" s="13">
        <f>('[235]M13A_RESIDENTS'!$L$35)/1000</f>
        <v>369.166</v>
      </c>
      <c r="Y454" s="13">
        <f>('[235]M13A_RESIDENTS'!$L$34)/1000</f>
        <v>9032.327</v>
      </c>
      <c r="Z454" s="49">
        <f>('[235]M13A_RESIDENTS'!$L$37)/1000</f>
        <v>39142.461</v>
      </c>
      <c r="AA454" s="49">
        <f t="shared" si="64"/>
        <v>3896.298</v>
      </c>
      <c r="AB454" s="13">
        <f>('[235]M13A_RESIDENTS'!$L$4)/1000</f>
        <v>681.62</v>
      </c>
      <c r="AC454" s="13">
        <f>('[235]M13A_RESIDENTS'!$L$5)/1000</f>
        <v>3.096</v>
      </c>
      <c r="AD454" s="13">
        <f>('[235]M13A_RESIDENTS'!$L$7)/1000</f>
        <v>1666.01</v>
      </c>
      <c r="AE454" s="13">
        <f>('[235]M13A_RESIDENTS'!$L$6)/1000</f>
        <v>1545.572</v>
      </c>
      <c r="AF454" s="49">
        <f>('[235]M13A_RESIDENTS'!$L$38)/1000</f>
        <v>105031.711</v>
      </c>
      <c r="AG454" s="49">
        <f>('[235]M13A_RESIDENTS'!$L$45)/1000</f>
        <v>1522.968</v>
      </c>
      <c r="AH454" s="49">
        <f>('[235]M13A_RESIDENTS'!$L$46)/1000</f>
        <v>82022.622</v>
      </c>
      <c r="AI454" s="49">
        <f>('[235]M13A_RESIDENTS'!$L$39)/1000</f>
        <v>1616.231</v>
      </c>
      <c r="AJ454" s="49">
        <f>(SUM('[235]M13A_RESIDENTS'!$L$40:$L$43))/1000</f>
        <v>83784.534</v>
      </c>
      <c r="AK454" s="49">
        <f>('[235]M13A_RESIDENTS'!$L$44)/1000</f>
        <v>566572.182</v>
      </c>
      <c r="AL454" s="49">
        <f>('[235]SUMMARY'!$C$23)/1000</f>
        <v>92589.972</v>
      </c>
      <c r="AM454" s="14">
        <f t="shared" si="65"/>
        <v>1143953.039</v>
      </c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</row>
    <row r="455" spans="1:72" ht="15">
      <c r="A455" s="22">
        <v>44985</v>
      </c>
      <c r="B455" s="49">
        <f t="shared" si="60"/>
        <v>13445.844</v>
      </c>
      <c r="C455" s="13">
        <f>(SUM('[236]M13A_RESIDENTS'!$L$12:$L$18))/1000</f>
        <v>7609.729</v>
      </c>
      <c r="D455" s="13">
        <f>(SUM('[236]M13A_RESIDENTS'!$L$10:$L$11))/1000</f>
        <v>2136.25</v>
      </c>
      <c r="E455" s="13">
        <f>('[236]M13A_RESIDENTS'!$L$9)/1000</f>
        <v>3699.865</v>
      </c>
      <c r="F455" s="49">
        <f>(SUM('[236]M13A_RESIDENTS'!$L$28:$L$30))/1000</f>
        <v>2655.653</v>
      </c>
      <c r="G455" s="49">
        <f t="shared" si="61"/>
        <v>43755.032</v>
      </c>
      <c r="H455" s="13">
        <f>('[236]M13A_RESIDENTS'!$L$25)/1000</f>
        <v>3887.817</v>
      </c>
      <c r="I455" s="13">
        <f>('[236]M13A_RESIDENTS'!$L$21)/1000</f>
        <v>17351.346</v>
      </c>
      <c r="J455" s="13">
        <f>('[236]M13A_RESIDENTS'!$L$24)/1000</f>
        <v>789.102</v>
      </c>
      <c r="K455" s="13">
        <f>('[236]M13A_RESIDENTS'!$L$26)/1000</f>
        <v>471.389</v>
      </c>
      <c r="L455" s="13">
        <f>('[236]M13A_RESIDENTS'!$L$22)/1000</f>
        <v>657.288</v>
      </c>
      <c r="M455" s="13">
        <f>('[236]M13A_RESIDENTS'!$L$23)/1000</f>
        <v>3369.609</v>
      </c>
      <c r="N455" s="13">
        <f>('[236]M13A_RESIDENTS'!$L$19)/1000</f>
        <v>1850.411</v>
      </c>
      <c r="O455" s="13">
        <f>('[236]M13A_RESIDENTS'!$L$20)/1000</f>
        <v>2256.291</v>
      </c>
      <c r="P455" s="13">
        <f>('[236]M13A_RESIDENTS'!$L$27)/1000</f>
        <v>13121.779</v>
      </c>
      <c r="Q455" s="49">
        <f t="shared" si="62"/>
        <v>54082.128000000004</v>
      </c>
      <c r="R455" s="13">
        <f>('[236]M13A_RESIDENTS'!$L$32)/1000</f>
        <v>51358.455</v>
      </c>
      <c r="S455" s="13">
        <f>('[236]M13A_RESIDENTS'!$L$31)/1000</f>
        <v>1906.033</v>
      </c>
      <c r="T455" s="13">
        <f>('[236]M13A_RESIDENTS'!$L$33)/1000</f>
        <v>817.64</v>
      </c>
      <c r="U455" s="49">
        <f>('[236]M13A_RESIDENTS'!$L$8)/1000</f>
        <v>30506.625</v>
      </c>
      <c r="V455" s="49">
        <f t="shared" si="63"/>
        <v>25224.319</v>
      </c>
      <c r="W455" s="13">
        <f>('[236]M13A_RESIDENTS'!$L$36)/1000</f>
        <v>15799.137</v>
      </c>
      <c r="X455" s="13">
        <f>('[236]M13A_RESIDENTS'!$L$35)/1000</f>
        <v>352.988</v>
      </c>
      <c r="Y455" s="13">
        <f>('[236]M13A_RESIDENTS'!$L$34)/1000</f>
        <v>9072.194</v>
      </c>
      <c r="Z455" s="49">
        <f>('[236]M13A_RESIDENTS'!$L$37)/1000</f>
        <v>38277.654</v>
      </c>
      <c r="AA455" s="49">
        <f t="shared" si="64"/>
        <v>5923.132</v>
      </c>
      <c r="AB455" s="13">
        <f>('[236]M13A_RESIDENTS'!$L$4)/1000</f>
        <v>601.662</v>
      </c>
      <c r="AC455" s="13">
        <f>('[236]M13A_RESIDENTS'!$L$5)/1000</f>
        <v>1.796</v>
      </c>
      <c r="AD455" s="13">
        <f>('[236]M13A_RESIDENTS'!$L$7)/1000</f>
        <v>3775.234</v>
      </c>
      <c r="AE455" s="13">
        <f>('[236]M13A_RESIDENTS'!$L$6)/1000</f>
        <v>1544.44</v>
      </c>
      <c r="AF455" s="49">
        <f>('[236]M13A_RESIDENTS'!$L$38)/1000</f>
        <v>106138.928</v>
      </c>
      <c r="AG455" s="49">
        <f>('[236]M13A_RESIDENTS'!$L$45)/1000</f>
        <v>1497.641</v>
      </c>
      <c r="AH455" s="49">
        <f>('[236]M13A_RESIDENTS'!$L$46)/1000</f>
        <v>84364.025</v>
      </c>
      <c r="AI455" s="49">
        <f>('[236]M13A_RESIDENTS'!$L$39)/1000</f>
        <v>1590.428</v>
      </c>
      <c r="AJ455" s="49">
        <f>(SUM('[236]M13A_RESIDENTS'!$L$40:$L$43))/1000</f>
        <v>85427.198</v>
      </c>
      <c r="AK455" s="49">
        <f>('[236]M13A_RESIDENTS'!$L$44)/1000</f>
        <v>573241.005</v>
      </c>
      <c r="AL455" s="49">
        <f>('[236]SUMMARY'!$C$23)/1000</f>
        <v>90505.988</v>
      </c>
      <c r="AM455" s="14">
        <f t="shared" si="65"/>
        <v>1156635.5999999999</v>
      </c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</row>
    <row r="456" spans="1:72" ht="15">
      <c r="A456" s="22">
        <v>45016</v>
      </c>
      <c r="B456" s="49">
        <f t="shared" si="60"/>
        <v>13181.565</v>
      </c>
      <c r="C456" s="13">
        <f>(SUM('[237]M13A_RESIDENTS'!$L$12:$L$18))/1000</f>
        <v>7441.357</v>
      </c>
      <c r="D456" s="13">
        <f>(SUM('[237]M13A_RESIDENTS'!$L$10:$L$11))/1000</f>
        <v>2158.876</v>
      </c>
      <c r="E456" s="13">
        <f>('[237]M13A_RESIDENTS'!$L$9)/1000</f>
        <v>3581.332</v>
      </c>
      <c r="F456" s="49">
        <f>(SUM('[237]M13A_RESIDENTS'!$L$28:$L$30))/1000</f>
        <v>2563.698</v>
      </c>
      <c r="G456" s="49">
        <f t="shared" si="61"/>
        <v>42820.384999999995</v>
      </c>
      <c r="H456" s="13">
        <f>('[237]M13A_RESIDENTS'!$L$25)/1000</f>
        <v>3986.499</v>
      </c>
      <c r="I456" s="13">
        <f>('[237]M13A_RESIDENTS'!$L$21)/1000</f>
        <v>16378.96</v>
      </c>
      <c r="J456" s="13">
        <f>('[237]M13A_RESIDENTS'!$L$24)/1000</f>
        <v>783.904</v>
      </c>
      <c r="K456" s="13">
        <f>('[237]M13A_RESIDENTS'!$L$26)/1000</f>
        <v>474.742</v>
      </c>
      <c r="L456" s="13">
        <f>('[237]M13A_RESIDENTS'!$L$22)/1000</f>
        <v>641.516</v>
      </c>
      <c r="M456" s="13">
        <f>('[237]M13A_RESIDENTS'!$L$23)/1000</f>
        <v>3344.341</v>
      </c>
      <c r="N456" s="13">
        <f>('[237]M13A_RESIDENTS'!$L$19)/1000</f>
        <v>1885.297</v>
      </c>
      <c r="O456" s="13">
        <f>('[237]M13A_RESIDENTS'!$L$20)/1000</f>
        <v>2250.254</v>
      </c>
      <c r="P456" s="13">
        <f>('[237]M13A_RESIDENTS'!$L$27)/1000</f>
        <v>13074.872</v>
      </c>
      <c r="Q456" s="49">
        <f t="shared" si="62"/>
        <v>54260.206999999995</v>
      </c>
      <c r="R456" s="13">
        <f>('[237]M13A_RESIDENTS'!$L$32)/1000</f>
        <v>51561.988</v>
      </c>
      <c r="S456" s="13">
        <f>('[237]M13A_RESIDENTS'!$L$31)/1000</f>
        <v>1914.297</v>
      </c>
      <c r="T456" s="13">
        <f>('[237]M13A_RESIDENTS'!$L$33)/1000</f>
        <v>783.922</v>
      </c>
      <c r="U456" s="49">
        <f>('[237]M13A_RESIDENTS'!$L$8)/1000</f>
        <v>33213.503</v>
      </c>
      <c r="V456" s="49">
        <f t="shared" si="63"/>
        <v>25053.132999999998</v>
      </c>
      <c r="W456" s="13">
        <f>('[237]M13A_RESIDENTS'!$L$36)/1000</f>
        <v>15653.605</v>
      </c>
      <c r="X456" s="13">
        <f>('[237]M13A_RESIDENTS'!$L$35)/1000</f>
        <v>347.737</v>
      </c>
      <c r="Y456" s="13">
        <f>('[237]M13A_RESIDENTS'!$L$34)/1000</f>
        <v>9051.791</v>
      </c>
      <c r="Z456" s="49">
        <f>('[237]M13A_RESIDENTS'!$L$37)/1000</f>
        <v>37869.088</v>
      </c>
      <c r="AA456" s="49">
        <f t="shared" si="64"/>
        <v>9737.481</v>
      </c>
      <c r="AB456" s="13">
        <f>('[237]M13A_RESIDENTS'!$L$4)/1000</f>
        <v>876.736</v>
      </c>
      <c r="AC456" s="13">
        <f>('[237]M13A_RESIDENTS'!$L$5)/1000</f>
        <v>0.49</v>
      </c>
      <c r="AD456" s="13">
        <f>('[237]M13A_RESIDENTS'!$L$7)/1000</f>
        <v>7337.88</v>
      </c>
      <c r="AE456" s="13">
        <f>('[237]M13A_RESIDENTS'!$L$6)/1000</f>
        <v>1522.375</v>
      </c>
      <c r="AF456" s="49">
        <f>('[237]M13A_RESIDENTS'!$L$38)/1000</f>
        <v>109995.168</v>
      </c>
      <c r="AG456" s="49">
        <f>('[237]M13A_RESIDENTS'!$L$45)/1000</f>
        <v>1509.409</v>
      </c>
      <c r="AH456" s="49">
        <f>('[237]M13A_RESIDENTS'!$L$46)/1000</f>
        <v>83253.513</v>
      </c>
      <c r="AI456" s="49">
        <f>('[237]M13A_RESIDENTS'!$L$39)/1000</f>
        <v>1587.632</v>
      </c>
      <c r="AJ456" s="49">
        <f>(SUM('[237]M13A_RESIDENTS'!$L$40:$L$43))/1000</f>
        <v>88734.425</v>
      </c>
      <c r="AK456" s="49">
        <f>('[237]M13A_RESIDENTS'!$L$44)/1000</f>
        <v>579993.67</v>
      </c>
      <c r="AL456" s="49">
        <f>('[237]SUMMARY'!$C$23)/1000</f>
        <v>90892.471</v>
      </c>
      <c r="AM456" s="14">
        <f t="shared" si="65"/>
        <v>1174665.348</v>
      </c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</row>
    <row r="457" spans="1:72" ht="15">
      <c r="A457" s="22">
        <v>45046</v>
      </c>
      <c r="B457" s="49">
        <f aca="true" t="shared" si="66" ref="B457:B462">SUM(C457:E457)</f>
        <v>12745.396</v>
      </c>
      <c r="C457" s="13">
        <f>(SUM('[238]M13A_RESIDENTS'!$L$12:$L$18))/1000</f>
        <v>7239.463</v>
      </c>
      <c r="D457" s="13">
        <f>(SUM('[238]M13A_RESIDENTS'!$L$10:$L$11))/1000</f>
        <v>1925.369</v>
      </c>
      <c r="E457" s="13">
        <f>('[238]M13A_RESIDENTS'!$L$9)/1000</f>
        <v>3580.564</v>
      </c>
      <c r="F457" s="49">
        <f>(SUM('[238]M13A_RESIDENTS'!$L$28:$L$30))/1000</f>
        <v>2507.791</v>
      </c>
      <c r="G457" s="49">
        <f aca="true" t="shared" si="67" ref="G457:G462">SUM(H457:P457)</f>
        <v>42580.061</v>
      </c>
      <c r="H457" s="13">
        <f>('[238]M13A_RESIDENTS'!$L$25)/1000</f>
        <v>3915.664</v>
      </c>
      <c r="I457" s="13">
        <f>('[238]M13A_RESIDENTS'!$L$21)/1000</f>
        <v>16505.214</v>
      </c>
      <c r="J457" s="13">
        <f>('[238]M13A_RESIDENTS'!$L$24)/1000</f>
        <v>731.81</v>
      </c>
      <c r="K457" s="13">
        <f>('[238]M13A_RESIDENTS'!$L$26)/1000</f>
        <v>452.493</v>
      </c>
      <c r="L457" s="13">
        <f>('[238]M13A_RESIDENTS'!$L$22)/1000</f>
        <v>652.01</v>
      </c>
      <c r="M457" s="13">
        <f>('[238]M13A_RESIDENTS'!$L$23)/1000</f>
        <v>3368.462</v>
      </c>
      <c r="N457" s="13">
        <f>('[238]M13A_RESIDENTS'!$L$19)/1000</f>
        <v>2020.074</v>
      </c>
      <c r="O457" s="13">
        <f>('[238]M13A_RESIDENTS'!$L$20)/1000</f>
        <v>2252.659</v>
      </c>
      <c r="P457" s="13">
        <f>('[238]M13A_RESIDENTS'!$L$27)/1000</f>
        <v>12681.675</v>
      </c>
      <c r="Q457" s="49">
        <f aca="true" t="shared" si="68" ref="Q457:Q462">SUM(R457:T457)</f>
        <v>55914.534999999996</v>
      </c>
      <c r="R457" s="13">
        <f>('[238]M13A_RESIDENTS'!$L$32)/1000</f>
        <v>53196.293</v>
      </c>
      <c r="S457" s="13">
        <f>('[238]M13A_RESIDENTS'!$L$31)/1000</f>
        <v>1933.558</v>
      </c>
      <c r="T457" s="13">
        <f>('[238]M13A_RESIDENTS'!$L$33)/1000</f>
        <v>784.684</v>
      </c>
      <c r="U457" s="49">
        <f>('[238]M13A_RESIDENTS'!$L$8)/1000</f>
        <v>31895.674</v>
      </c>
      <c r="V457" s="49">
        <f aca="true" t="shared" si="69" ref="V457:V462">SUM(W457:Y457)</f>
        <v>27797.622000000003</v>
      </c>
      <c r="W457" s="13">
        <f>('[238]M13A_RESIDENTS'!$L$36)/1000</f>
        <v>18579.098</v>
      </c>
      <c r="X457" s="13">
        <f>('[238]M13A_RESIDENTS'!$L$35)/1000</f>
        <v>346.357</v>
      </c>
      <c r="Y457" s="13">
        <f>('[238]M13A_RESIDENTS'!$L$34)/1000</f>
        <v>8872.167</v>
      </c>
      <c r="Z457" s="49">
        <f>('[238]M13A_RESIDENTS'!$L$37)/1000</f>
        <v>37177.692</v>
      </c>
      <c r="AA457" s="49">
        <f aca="true" t="shared" si="70" ref="AA457:AA462">SUM(AB457:AE457)</f>
        <v>9029.16</v>
      </c>
      <c r="AB457" s="13">
        <f>('[238]M13A_RESIDENTS'!$L$4)/1000</f>
        <v>575.562</v>
      </c>
      <c r="AC457" s="13">
        <f>('[238]M13A_RESIDENTS'!$L$5)/1000</f>
        <v>0.009</v>
      </c>
      <c r="AD457" s="13">
        <f>('[238]M13A_RESIDENTS'!$L$7)/1000</f>
        <v>6931.498</v>
      </c>
      <c r="AE457" s="13">
        <f>('[238]M13A_RESIDENTS'!$L$6)/1000</f>
        <v>1522.091</v>
      </c>
      <c r="AF457" s="49">
        <f>('[238]M13A_RESIDENTS'!$L$38)/1000</f>
        <v>112039.956</v>
      </c>
      <c r="AG457" s="49">
        <f>('[238]M13A_RESIDENTS'!$L$45)/1000</f>
        <v>1452.103</v>
      </c>
      <c r="AH457" s="49">
        <f>('[238]M13A_RESIDENTS'!$L$46)/1000</f>
        <v>82449.403</v>
      </c>
      <c r="AI457" s="49">
        <f>('[238]M13A_RESIDENTS'!$L$39)/1000</f>
        <v>1733.559</v>
      </c>
      <c r="AJ457" s="49">
        <f>(SUM('[238]M13A_RESIDENTS'!$L$40:$L$43))/1000</f>
        <v>88561.931</v>
      </c>
      <c r="AK457" s="49">
        <f>('[238]M13A_RESIDENTS'!$L$44)/1000</f>
        <v>584469.318</v>
      </c>
      <c r="AL457" s="49">
        <f>('[238]SUMMARY'!$C$23)/1000</f>
        <v>92182.133</v>
      </c>
      <c r="AM457" s="14">
        <f aca="true" t="shared" si="71" ref="AM457:AM462">+B457+F457+G457+Q457+U457+V457+Z457+AA457+AF457+AH457+AI457+AJ457+AK457+AL457+AG457</f>
        <v>1182536.3339999998</v>
      </c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</row>
    <row r="458" spans="1:72" ht="15">
      <c r="A458" s="22">
        <v>45077</v>
      </c>
      <c r="B458" s="49">
        <f t="shared" si="66"/>
        <v>11985.467</v>
      </c>
      <c r="C458" s="13">
        <f>(SUM('[239]M13A_RESIDENTS'!$L$12:$L$18))/1000</f>
        <v>6431.978</v>
      </c>
      <c r="D458" s="13">
        <f>(SUM('[239]M13A_RESIDENTS'!$L$10:$L$11))/1000</f>
        <v>1973.967</v>
      </c>
      <c r="E458" s="13">
        <f>('[239]M13A_RESIDENTS'!$L$9)/1000</f>
        <v>3579.522</v>
      </c>
      <c r="F458" s="49">
        <f>(SUM('[239]M13A_RESIDENTS'!$L$28:$L$30))/1000</f>
        <v>2514.543</v>
      </c>
      <c r="G458" s="49">
        <f t="shared" si="67"/>
        <v>44223.54</v>
      </c>
      <c r="H458" s="13">
        <f>('[239]M13A_RESIDENTS'!$L$25)/1000</f>
        <v>5434.649</v>
      </c>
      <c r="I458" s="13">
        <f>('[239]M13A_RESIDENTS'!$L$21)/1000</f>
        <v>16500.746</v>
      </c>
      <c r="J458" s="13">
        <f>('[239]M13A_RESIDENTS'!$L$24)/1000</f>
        <v>723.034</v>
      </c>
      <c r="K458" s="13">
        <f>('[239]M13A_RESIDENTS'!$L$26)/1000</f>
        <v>459.926</v>
      </c>
      <c r="L458" s="13">
        <f>('[239]M13A_RESIDENTS'!$L$22)/1000</f>
        <v>693.086</v>
      </c>
      <c r="M458" s="13">
        <f>('[239]M13A_RESIDENTS'!$L$23)/1000</f>
        <v>3412.323</v>
      </c>
      <c r="N458" s="13">
        <f>('[239]M13A_RESIDENTS'!$L$19)/1000</f>
        <v>2091.417</v>
      </c>
      <c r="O458" s="13">
        <f>('[239]M13A_RESIDENTS'!$L$20)/1000</f>
        <v>2298.423</v>
      </c>
      <c r="P458" s="13">
        <f>('[239]M13A_RESIDENTS'!$L$27)/1000</f>
        <v>12609.936</v>
      </c>
      <c r="Q458" s="49">
        <f t="shared" si="68"/>
        <v>55651.347</v>
      </c>
      <c r="R458" s="13">
        <f>('[239]M13A_RESIDENTS'!$L$32)/1000</f>
        <v>53024.75</v>
      </c>
      <c r="S458" s="13">
        <f>('[239]M13A_RESIDENTS'!$L$31)/1000</f>
        <v>1899.195</v>
      </c>
      <c r="T458" s="13">
        <f>('[239]M13A_RESIDENTS'!$L$33)/1000</f>
        <v>727.402</v>
      </c>
      <c r="U458" s="49">
        <f>('[239]M13A_RESIDENTS'!$L$8)/1000</f>
        <v>30406.378</v>
      </c>
      <c r="V458" s="49">
        <f t="shared" si="69"/>
        <v>27907.843</v>
      </c>
      <c r="W458" s="13">
        <f>('[239]M13A_RESIDENTS'!$L$36)/1000</f>
        <v>18682.857</v>
      </c>
      <c r="X458" s="13">
        <f>('[239]M13A_RESIDENTS'!$L$35)/1000</f>
        <v>348.911</v>
      </c>
      <c r="Y458" s="13">
        <f>('[239]M13A_RESIDENTS'!$L$34)/1000</f>
        <v>8876.075</v>
      </c>
      <c r="Z458" s="49">
        <f>('[239]M13A_RESIDENTS'!$L$37)/1000</f>
        <v>37140.223</v>
      </c>
      <c r="AA458" s="49">
        <f t="shared" si="70"/>
        <v>9200.421</v>
      </c>
      <c r="AB458" s="13">
        <f>('[239]M13A_RESIDENTS'!$L$4)/1000</f>
        <v>820.977</v>
      </c>
      <c r="AC458" s="13">
        <f>('[239]M13A_RESIDENTS'!$L$5)/1000</f>
        <v>0.039</v>
      </c>
      <c r="AD458" s="13">
        <f>('[239]M13A_RESIDENTS'!$L$7)/1000</f>
        <v>6856.464</v>
      </c>
      <c r="AE458" s="13">
        <f>('[239]M13A_RESIDENTS'!$L$6)/1000</f>
        <v>1522.941</v>
      </c>
      <c r="AF458" s="49">
        <f>('[239]M13A_RESIDENTS'!$L$38)/1000</f>
        <v>110777.941</v>
      </c>
      <c r="AG458" s="49">
        <f>('[239]M13A_RESIDENTS'!$L$45)/1000</f>
        <v>1208.429</v>
      </c>
      <c r="AH458" s="49">
        <f>('[239]M13A_RESIDENTS'!$L$46)/1000</f>
        <v>83621.707</v>
      </c>
      <c r="AI458" s="49">
        <f>('[239]M13A_RESIDENTS'!$L$39)/1000</f>
        <v>1677.784</v>
      </c>
      <c r="AJ458" s="49">
        <f>(SUM('[239]M13A_RESIDENTS'!$L$40:$L$43))/1000</f>
        <v>92188.619</v>
      </c>
      <c r="AK458" s="49">
        <f>('[239]M13A_RESIDENTS'!$L$44)/1000</f>
        <v>587925.48</v>
      </c>
      <c r="AL458" s="49">
        <f>('[239]SUMMARY'!$C$23)/1000</f>
        <v>93438.487</v>
      </c>
      <c r="AM458" s="14">
        <f t="shared" si="71"/>
        <v>1189868.209</v>
      </c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</row>
    <row r="459" spans="1:72" ht="15">
      <c r="A459" s="22">
        <v>45107</v>
      </c>
      <c r="B459" s="49">
        <f t="shared" si="66"/>
        <v>11693.565</v>
      </c>
      <c r="C459" s="13">
        <f>(SUM('[240]M13A_RESIDENTS'!$L$12:$L$18))/1000</f>
        <v>6274.181</v>
      </c>
      <c r="D459" s="13">
        <f>(SUM('[240]M13A_RESIDENTS'!$L$10:$L$11))/1000</f>
        <v>1958.124</v>
      </c>
      <c r="E459" s="13">
        <f>('[240]M13A_RESIDENTS'!$L$9)/1000</f>
        <v>3461.26</v>
      </c>
      <c r="F459" s="49">
        <f>(SUM('[240]M13A_RESIDENTS'!$L$28:$L$30))/1000</f>
        <v>2480.123</v>
      </c>
      <c r="G459" s="49">
        <f t="shared" si="67"/>
        <v>42251.131</v>
      </c>
      <c r="H459" s="13">
        <f>('[240]M13A_RESIDENTS'!$L$25)/1000</f>
        <v>5450.905</v>
      </c>
      <c r="I459" s="13">
        <f>('[240]M13A_RESIDENTS'!$L$21)/1000</f>
        <v>14716.857</v>
      </c>
      <c r="J459" s="13">
        <f>('[240]M13A_RESIDENTS'!$L$24)/1000</f>
        <v>717.399</v>
      </c>
      <c r="K459" s="13">
        <f>('[240]M13A_RESIDENTS'!$L$26)/1000</f>
        <v>469.11</v>
      </c>
      <c r="L459" s="13">
        <f>('[240]M13A_RESIDENTS'!$L$22)/1000</f>
        <v>670.951</v>
      </c>
      <c r="M459" s="13">
        <f>('[240]M13A_RESIDENTS'!$L$23)/1000</f>
        <v>3448.351</v>
      </c>
      <c r="N459" s="13">
        <f>('[240]M13A_RESIDENTS'!$L$19)/1000</f>
        <v>1854.182</v>
      </c>
      <c r="O459" s="13">
        <f>('[240]M13A_RESIDENTS'!$L$20)/1000</f>
        <v>2282.623</v>
      </c>
      <c r="P459" s="13">
        <f>('[240]M13A_RESIDENTS'!$L$27)/1000</f>
        <v>12640.753</v>
      </c>
      <c r="Q459" s="49">
        <f t="shared" si="68"/>
        <v>56323.183</v>
      </c>
      <c r="R459" s="13">
        <f>('[240]M13A_RESIDENTS'!$L$32)/1000</f>
        <v>53675.894</v>
      </c>
      <c r="S459" s="13">
        <f>('[240]M13A_RESIDENTS'!$L$31)/1000</f>
        <v>1933.812</v>
      </c>
      <c r="T459" s="13">
        <f>('[240]M13A_RESIDENTS'!$L$33)/1000</f>
        <v>713.477</v>
      </c>
      <c r="U459" s="49">
        <f>('[240]M13A_RESIDENTS'!$L$8)/1000</f>
        <v>30381.127</v>
      </c>
      <c r="V459" s="49">
        <f t="shared" si="69"/>
        <v>26230.384</v>
      </c>
      <c r="W459" s="13">
        <f>('[240]M13A_RESIDENTS'!$L$36)/1000</f>
        <v>16764.045</v>
      </c>
      <c r="X459" s="13">
        <f>('[240]M13A_RESIDENTS'!$L$35)/1000</f>
        <v>347.351</v>
      </c>
      <c r="Y459" s="13">
        <f>('[240]M13A_RESIDENTS'!$L$34)/1000</f>
        <v>9118.988</v>
      </c>
      <c r="Z459" s="49">
        <f>('[240]M13A_RESIDENTS'!$L$37)/1000</f>
        <v>36637.514</v>
      </c>
      <c r="AA459" s="49">
        <f t="shared" si="70"/>
        <v>8908.127</v>
      </c>
      <c r="AB459" s="13">
        <f>('[240]M13A_RESIDENTS'!$L$4)/1000</f>
        <v>987.369</v>
      </c>
      <c r="AC459" s="13">
        <f>('[240]M13A_RESIDENTS'!$L$5)/1000</f>
        <v>0.041</v>
      </c>
      <c r="AD459" s="13">
        <f>('[240]M13A_RESIDENTS'!$L$7)/1000</f>
        <v>6421.02</v>
      </c>
      <c r="AE459" s="13">
        <f>('[240]M13A_RESIDENTS'!$L$6)/1000</f>
        <v>1499.697</v>
      </c>
      <c r="AF459" s="49">
        <f>('[240]M13A_RESIDENTS'!$L$38)/1000</f>
        <v>114063.239</v>
      </c>
      <c r="AG459" s="49">
        <f>('[240]M13A_RESIDENTS'!$L$45)/1000</f>
        <v>1633.411</v>
      </c>
      <c r="AH459" s="49">
        <f>('[240]M13A_RESIDENTS'!$L$46)/1000</f>
        <v>82672.925</v>
      </c>
      <c r="AI459" s="49">
        <f>('[240]M13A_RESIDENTS'!$L$39)/1000</f>
        <v>1771.959</v>
      </c>
      <c r="AJ459" s="49">
        <f>(SUM('[240]M13A_RESIDENTS'!$L$40:$L$43))/1000</f>
        <v>94338.776</v>
      </c>
      <c r="AK459" s="49">
        <f>('[240]M13A_RESIDENTS'!$L$44)/1000</f>
        <v>594174.948</v>
      </c>
      <c r="AL459" s="49">
        <f>('[240]SUMMARY'!$C$23)/1000</f>
        <v>94929.457</v>
      </c>
      <c r="AM459" s="14">
        <f t="shared" si="71"/>
        <v>1198489.869</v>
      </c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</row>
    <row r="460" spans="1:72" ht="15">
      <c r="A460" s="22">
        <v>45138</v>
      </c>
      <c r="B460" s="49">
        <f t="shared" si="66"/>
        <v>11969.14</v>
      </c>
      <c r="C460" s="13">
        <f>(SUM('[241]M13A_RESIDENTS'!$L$12:$L$18))/1000</f>
        <v>6451.767</v>
      </c>
      <c r="D460" s="13">
        <f>(SUM('[241]M13A_RESIDENTS'!$L$10:$L$11))/1000</f>
        <v>2057.171</v>
      </c>
      <c r="E460" s="13">
        <f>('[241]M13A_RESIDENTS'!$L$9)/1000</f>
        <v>3460.202</v>
      </c>
      <c r="F460" s="49">
        <f>(SUM('[241]M13A_RESIDENTS'!$L$28:$L$30))/1000</f>
        <v>2482.465</v>
      </c>
      <c r="G460" s="49">
        <f t="shared" si="67"/>
        <v>44844.54</v>
      </c>
      <c r="H460" s="13">
        <f>('[241]M13A_RESIDENTS'!$L$25)/1000</f>
        <v>5412.024</v>
      </c>
      <c r="I460" s="13">
        <f>('[241]M13A_RESIDENTS'!$L$21)/1000</f>
        <v>15118.459</v>
      </c>
      <c r="J460" s="13">
        <f>('[241]M13A_RESIDENTS'!$L$24)/1000</f>
        <v>662.278</v>
      </c>
      <c r="K460" s="13">
        <f>('[241]M13A_RESIDENTS'!$L$26)/1000</f>
        <v>473.554</v>
      </c>
      <c r="L460" s="13">
        <f>('[241]M13A_RESIDENTS'!$L$22)/1000</f>
        <v>669.019</v>
      </c>
      <c r="M460" s="13">
        <f>('[241]M13A_RESIDENTS'!$L$23)/1000</f>
        <v>3300.584</v>
      </c>
      <c r="N460" s="13">
        <f>('[241]M13A_RESIDENTS'!$L$19)/1000</f>
        <v>1908.612</v>
      </c>
      <c r="O460" s="13">
        <f>('[241]M13A_RESIDENTS'!$L$20)/1000</f>
        <v>5043.607</v>
      </c>
      <c r="P460" s="13">
        <f>('[241]M13A_RESIDENTS'!$L$27)/1000</f>
        <v>12256.403</v>
      </c>
      <c r="Q460" s="49">
        <f t="shared" si="68"/>
        <v>57554.214</v>
      </c>
      <c r="R460" s="13">
        <f>('[241]M13A_RESIDENTS'!$L$32)/1000</f>
        <v>54853.231</v>
      </c>
      <c r="S460" s="13">
        <f>('[241]M13A_RESIDENTS'!$L$31)/1000</f>
        <v>2047.706</v>
      </c>
      <c r="T460" s="13">
        <f>('[241]M13A_RESIDENTS'!$L$33)/1000</f>
        <v>653.277</v>
      </c>
      <c r="U460" s="49">
        <f>('[241]M13A_RESIDENTS'!$L$8)/1000</f>
        <v>30031.286</v>
      </c>
      <c r="V460" s="49">
        <f t="shared" si="69"/>
        <v>26311.939999999995</v>
      </c>
      <c r="W460" s="13">
        <f>('[241]M13A_RESIDENTS'!$L$36)/1000</f>
        <v>16844.797</v>
      </c>
      <c r="X460" s="13">
        <f>('[241]M13A_RESIDENTS'!$L$35)/1000</f>
        <v>347.654</v>
      </c>
      <c r="Y460" s="13">
        <f>('[241]M13A_RESIDENTS'!$L$34)/1000</f>
        <v>9119.489</v>
      </c>
      <c r="Z460" s="49">
        <f>('[241]M13A_RESIDENTS'!$L$37)/1000</f>
        <v>35739.112</v>
      </c>
      <c r="AA460" s="49">
        <f t="shared" si="70"/>
        <v>9527.3</v>
      </c>
      <c r="AB460" s="13">
        <f>('[241]M13A_RESIDENTS'!$L$4)/1000</f>
        <v>903.737</v>
      </c>
      <c r="AC460" s="13">
        <f>('[241]M13A_RESIDENTS'!$L$5)/1000</f>
        <v>0.044</v>
      </c>
      <c r="AD460" s="13">
        <f>('[241]M13A_RESIDENTS'!$L$7)/1000</f>
        <v>7125.172</v>
      </c>
      <c r="AE460" s="13">
        <f>('[241]M13A_RESIDENTS'!$L$6)/1000</f>
        <v>1498.347</v>
      </c>
      <c r="AF460" s="49">
        <f>('[241]M13A_RESIDENTS'!$L$38)/1000</f>
        <v>116156.192</v>
      </c>
      <c r="AG460" s="49">
        <f>('[241]M13A_RESIDENTS'!$L$45)/1000</f>
        <v>1638.56</v>
      </c>
      <c r="AH460" s="49">
        <f>('[241]M13A_RESIDENTS'!$L$46)/1000</f>
        <v>79153.874</v>
      </c>
      <c r="AI460" s="49">
        <f>('[241]M13A_RESIDENTS'!$L$39)/1000</f>
        <v>1842.731</v>
      </c>
      <c r="AJ460" s="49">
        <f>(SUM('[241]M13A_RESIDENTS'!$L$40:$L$43))/1000</f>
        <v>95420.072</v>
      </c>
      <c r="AK460" s="49">
        <f>('[241]M13A_RESIDENTS'!$L$44)/1000</f>
        <v>602256.298</v>
      </c>
      <c r="AL460" s="49">
        <f>('[241]SUMMARY'!$C$23)/1000</f>
        <v>94667.816</v>
      </c>
      <c r="AM460" s="14">
        <f t="shared" si="71"/>
        <v>1209595.54</v>
      </c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</row>
    <row r="461" spans="1:72" ht="15">
      <c r="A461" s="22">
        <v>45169</v>
      </c>
      <c r="B461" s="49">
        <f t="shared" si="66"/>
        <v>11858.588000000002</v>
      </c>
      <c r="C461" s="13">
        <f>(SUM('[242]M13A_RESIDENTS'!$L$12:$L$18))/1000</f>
        <v>6345.587</v>
      </c>
      <c r="D461" s="13">
        <f>(SUM('[242]M13A_RESIDENTS'!$L$10:$L$11))/1000</f>
        <v>2053.866</v>
      </c>
      <c r="E461" s="13">
        <f>('[242]M13A_RESIDENTS'!$L$9)/1000</f>
        <v>3459.135</v>
      </c>
      <c r="F461" s="49">
        <f>(SUM('[242]M13A_RESIDENTS'!$L$28:$L$30))/1000</f>
        <v>2468.424</v>
      </c>
      <c r="G461" s="49">
        <f t="shared" si="67"/>
        <v>45539.643</v>
      </c>
      <c r="H461" s="13">
        <f>('[242]M13A_RESIDENTS'!$L$25)/1000</f>
        <v>5730.597</v>
      </c>
      <c r="I461" s="13">
        <f>('[242]M13A_RESIDENTS'!$L$21)/1000</f>
        <v>15289.274</v>
      </c>
      <c r="J461" s="13">
        <f>('[242]M13A_RESIDENTS'!$L$24)/1000</f>
        <v>851.406</v>
      </c>
      <c r="K461" s="13">
        <f>('[242]M13A_RESIDENTS'!$L$26)/1000</f>
        <v>458.805</v>
      </c>
      <c r="L461" s="13">
        <f>('[242]M13A_RESIDENTS'!$L$22)/1000</f>
        <v>692.684</v>
      </c>
      <c r="M461" s="13">
        <f>('[242]M13A_RESIDENTS'!$L$23)/1000</f>
        <v>3305.705</v>
      </c>
      <c r="N461" s="13">
        <f>('[242]M13A_RESIDENTS'!$L$19)/1000</f>
        <v>1876.766</v>
      </c>
      <c r="O461" s="13">
        <f>('[242]M13A_RESIDENTS'!$L$20)/1000</f>
        <v>5015.993</v>
      </c>
      <c r="P461" s="13">
        <f>('[242]M13A_RESIDENTS'!$L$27)/1000</f>
        <v>12318.413</v>
      </c>
      <c r="Q461" s="49">
        <f t="shared" si="68"/>
        <v>58693.551</v>
      </c>
      <c r="R461" s="13">
        <f>('[242]M13A_RESIDENTS'!$L$32)/1000</f>
        <v>55986.044</v>
      </c>
      <c r="S461" s="13">
        <f>('[242]M13A_RESIDENTS'!$L$31)/1000</f>
        <v>2068.022</v>
      </c>
      <c r="T461" s="13">
        <f>('[242]M13A_RESIDENTS'!$L$33)/1000</f>
        <v>639.485</v>
      </c>
      <c r="U461" s="49">
        <f>('[242]M13A_RESIDENTS'!$L$8)/1000</f>
        <v>29523.245</v>
      </c>
      <c r="V461" s="49">
        <f t="shared" si="69"/>
        <v>25975.208</v>
      </c>
      <c r="W461" s="13">
        <f>('[242]M13A_RESIDENTS'!$L$36)/1000</f>
        <v>16564.568</v>
      </c>
      <c r="X461" s="13">
        <f>('[242]M13A_RESIDENTS'!$L$35)/1000</f>
        <v>347.305</v>
      </c>
      <c r="Y461" s="13">
        <f>('[242]M13A_RESIDENTS'!$L$34)/1000</f>
        <v>9063.335</v>
      </c>
      <c r="Z461" s="49">
        <f>('[242]M13A_RESIDENTS'!$L$37)/1000</f>
        <v>35468.57</v>
      </c>
      <c r="AA461" s="49">
        <f t="shared" si="70"/>
        <v>5330.008</v>
      </c>
      <c r="AB461" s="13">
        <f>('[242]M13A_RESIDENTS'!$L$4)/1000</f>
        <v>1019.758</v>
      </c>
      <c r="AC461" s="13">
        <f>('[242]M13A_RESIDENTS'!$L$5)/1000</f>
        <v>0.046</v>
      </c>
      <c r="AD461" s="13">
        <f>('[242]M13A_RESIDENTS'!$L$7)/1000</f>
        <v>2811.123</v>
      </c>
      <c r="AE461" s="13">
        <f>('[242]M13A_RESIDENTS'!$L$6)/1000</f>
        <v>1499.081</v>
      </c>
      <c r="AF461" s="49">
        <f>('[242]M13A_RESIDENTS'!$L$38)/1000</f>
        <v>116357.238</v>
      </c>
      <c r="AG461" s="49">
        <f>('[242]M13A_RESIDENTS'!$L$45)/1000</f>
        <v>1654.242</v>
      </c>
      <c r="AH461" s="49">
        <f>('[242]M13A_RESIDENTS'!$L$46)/1000</f>
        <v>78543.599</v>
      </c>
      <c r="AI461" s="49">
        <f>('[242]M13A_RESIDENTS'!$L$39)/1000</f>
        <v>1788.67</v>
      </c>
      <c r="AJ461" s="49">
        <f>(SUM('[242]M13A_RESIDENTS'!$L$40:$L$43))/1000</f>
        <v>96489.857</v>
      </c>
      <c r="AK461" s="49">
        <f>('[242]M13A_RESIDENTS'!$L$44)/1000</f>
        <v>607069.098</v>
      </c>
      <c r="AL461" s="49">
        <f>('[242]SUMMARY'!$C$23)/1000</f>
        <v>94952.529</v>
      </c>
      <c r="AM461" s="14">
        <f t="shared" si="71"/>
        <v>1211712.4700000002</v>
      </c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</row>
    <row r="462" spans="1:72" ht="15">
      <c r="A462" s="22">
        <v>45199</v>
      </c>
      <c r="B462" s="49">
        <f t="shared" si="66"/>
        <v>11881.264</v>
      </c>
      <c r="C462" s="13">
        <f>(SUM('[243]M13A_RESIDENTS'!$L$12:$L$18))/1000</f>
        <v>6427.548</v>
      </c>
      <c r="D462" s="13">
        <f>(SUM('[243]M13A_RESIDENTS'!$L$10:$L$11))/1000</f>
        <v>1995.681</v>
      </c>
      <c r="E462" s="13">
        <f>('[243]M13A_RESIDENTS'!$L$9)/1000</f>
        <v>3458.035</v>
      </c>
      <c r="F462" s="49">
        <f>(SUM('[243]M13A_RESIDENTS'!$L$28:$L$30))/1000</f>
        <v>2454.843</v>
      </c>
      <c r="G462" s="49">
        <f t="shared" si="67"/>
        <v>46151.413</v>
      </c>
      <c r="H462" s="13">
        <f>('[243]M13A_RESIDENTS'!$L$25)/1000</f>
        <v>5523.949</v>
      </c>
      <c r="I462" s="13">
        <f>('[243]M13A_RESIDENTS'!$L$21)/1000</f>
        <v>15641.914</v>
      </c>
      <c r="J462" s="13">
        <f>('[243]M13A_RESIDENTS'!$L$24)/1000</f>
        <v>772.473</v>
      </c>
      <c r="K462" s="13">
        <f>('[243]M13A_RESIDENTS'!$L$26)/1000</f>
        <v>464.469</v>
      </c>
      <c r="L462" s="13">
        <f>('[243]M13A_RESIDENTS'!$L$22)/1000</f>
        <v>648.37</v>
      </c>
      <c r="M462" s="13">
        <f>('[243]M13A_RESIDENTS'!$L$23)/1000</f>
        <v>3303.658</v>
      </c>
      <c r="N462" s="13">
        <f>('[243]M13A_RESIDENTS'!$L$19)/1000</f>
        <v>1941.278</v>
      </c>
      <c r="O462" s="13">
        <f>('[243]M13A_RESIDENTS'!$L$20)/1000</f>
        <v>5016.047</v>
      </c>
      <c r="P462" s="13">
        <f>('[243]M13A_RESIDENTS'!$L$27)/1000</f>
        <v>12839.255</v>
      </c>
      <c r="Q462" s="49">
        <f t="shared" si="68"/>
        <v>62263.974</v>
      </c>
      <c r="R462" s="13">
        <f>('[243]M13A_RESIDENTS'!$L$32)/1000</f>
        <v>56017.614</v>
      </c>
      <c r="S462" s="13">
        <f>('[243]M13A_RESIDENTS'!$L$31)/1000</f>
        <v>5607.015</v>
      </c>
      <c r="T462" s="13">
        <f>('[243]M13A_RESIDENTS'!$L$33)/1000</f>
        <v>639.345</v>
      </c>
      <c r="U462" s="49">
        <f>('[243]M13A_RESIDENTS'!$L$8)/1000</f>
        <v>33226.113</v>
      </c>
      <c r="V462" s="49">
        <f t="shared" si="69"/>
        <v>30953.769999999997</v>
      </c>
      <c r="W462" s="13">
        <f>('[243]M13A_RESIDENTS'!$L$36)/1000</f>
        <v>21519.385</v>
      </c>
      <c r="X462" s="13">
        <f>('[243]M13A_RESIDENTS'!$L$35)/1000</f>
        <v>348.941</v>
      </c>
      <c r="Y462" s="13">
        <f>('[243]M13A_RESIDENTS'!$L$34)/1000</f>
        <v>9085.444</v>
      </c>
      <c r="Z462" s="49">
        <f>('[243]M13A_RESIDENTS'!$L$37)/1000</f>
        <v>35359.474</v>
      </c>
      <c r="AA462" s="49">
        <f t="shared" si="70"/>
        <v>7748.275000000001</v>
      </c>
      <c r="AB462" s="13">
        <f>('[243]M13A_RESIDENTS'!$L$4)/1000</f>
        <v>826.154</v>
      </c>
      <c r="AC462" s="13">
        <f>('[243]M13A_RESIDENTS'!$L$5)/1000</f>
        <v>0.049</v>
      </c>
      <c r="AD462" s="13">
        <f>('[243]M13A_RESIDENTS'!$L$7)/1000</f>
        <v>5446.086</v>
      </c>
      <c r="AE462" s="13">
        <f>('[243]M13A_RESIDENTS'!$L$6)/1000</f>
        <v>1475.986</v>
      </c>
      <c r="AF462" s="49">
        <f>('[243]M13A_RESIDENTS'!$L$38)/1000</f>
        <v>116162.33</v>
      </c>
      <c r="AG462" s="49">
        <f>('[243]M13A_RESIDENTS'!$L$45)/1000</f>
        <v>1653.276</v>
      </c>
      <c r="AH462" s="49">
        <f>('[243]M13A_RESIDENTS'!$L$46)/1000</f>
        <v>82589.093</v>
      </c>
      <c r="AI462" s="49">
        <f>('[243]M13A_RESIDENTS'!$L$39)/1000</f>
        <v>1716.891</v>
      </c>
      <c r="AJ462" s="49">
        <f>(SUM('[243]M13A_RESIDENTS'!$L$40:$L$43))/1000</f>
        <v>100033.065</v>
      </c>
      <c r="AK462" s="49">
        <f>('[243]M13A_RESIDENTS'!$L$44)/1000</f>
        <v>616929.06</v>
      </c>
      <c r="AL462" s="49">
        <f>('[243]SUMMARY'!$C$23)/1000</f>
        <v>94939.77</v>
      </c>
      <c r="AM462" s="14">
        <f t="shared" si="71"/>
        <v>1244062.611</v>
      </c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</row>
    <row r="463" spans="1:72" ht="15">
      <c r="A463" s="22">
        <v>45230</v>
      </c>
      <c r="B463" s="49">
        <f>SUM(C463:E463)</f>
        <v>11672.875</v>
      </c>
      <c r="C463" s="13">
        <f>(SUM('[244]M13A_RESIDENTS'!$L$12:$L$18))/1000</f>
        <v>6337.803</v>
      </c>
      <c r="D463" s="13">
        <f>(SUM('[244]M13A_RESIDENTS'!$L$10:$L$11))/1000</f>
        <v>1995.199</v>
      </c>
      <c r="E463" s="13">
        <f>('[244]M13A_RESIDENTS'!$L$9)/1000</f>
        <v>3339.873</v>
      </c>
      <c r="F463" s="49">
        <f>(SUM('[244]M13A_RESIDENTS'!$L$28:$L$30))/1000</f>
        <v>2431.806</v>
      </c>
      <c r="G463" s="49">
        <f>SUM(H463:P463)</f>
        <v>42807.259999999995</v>
      </c>
      <c r="H463" s="13">
        <f>('[244]M13A_RESIDENTS'!$L$25)/1000</f>
        <v>5623.141</v>
      </c>
      <c r="I463" s="13">
        <f>('[244]M13A_RESIDENTS'!$L$21)/1000</f>
        <v>13161.046</v>
      </c>
      <c r="J463" s="13">
        <f>('[244]M13A_RESIDENTS'!$L$24)/1000</f>
        <v>764.777</v>
      </c>
      <c r="K463" s="13">
        <f>('[244]M13A_RESIDENTS'!$L$26)/1000</f>
        <v>456.609</v>
      </c>
      <c r="L463" s="13">
        <f>('[244]M13A_RESIDENTS'!$L$22)/1000</f>
        <v>640.115</v>
      </c>
      <c r="M463" s="13">
        <f>('[244]M13A_RESIDENTS'!$L$23)/1000</f>
        <v>3280.245</v>
      </c>
      <c r="N463" s="13">
        <f>('[244]M13A_RESIDENTS'!$L$19)/1000</f>
        <v>1890.5</v>
      </c>
      <c r="O463" s="13">
        <f>('[244]M13A_RESIDENTS'!$L$20)/1000</f>
        <v>5108.813</v>
      </c>
      <c r="P463" s="13">
        <f>('[244]M13A_RESIDENTS'!$L$27)/1000</f>
        <v>11882.014</v>
      </c>
      <c r="Q463" s="49">
        <f>SUM(R463:T463)</f>
        <v>60485.937</v>
      </c>
      <c r="R463" s="13">
        <f>('[244]M13A_RESIDENTS'!$L$32)/1000</f>
        <v>54275.984</v>
      </c>
      <c r="S463" s="13">
        <f>('[244]M13A_RESIDENTS'!$L$31)/1000</f>
        <v>5598.061</v>
      </c>
      <c r="T463" s="13">
        <f>('[244]M13A_RESIDENTS'!$L$33)/1000</f>
        <v>611.892</v>
      </c>
      <c r="U463" s="49">
        <f>('[244]M13A_RESIDENTS'!$L$8)/1000</f>
        <v>37115.066</v>
      </c>
      <c r="V463" s="49">
        <f>SUM(W463:Y463)</f>
        <v>30591.807</v>
      </c>
      <c r="W463" s="13">
        <f>('[244]M13A_RESIDENTS'!$L$36)/1000</f>
        <v>21213.116</v>
      </c>
      <c r="X463" s="13">
        <f>('[244]M13A_RESIDENTS'!$L$35)/1000</f>
        <v>347.775</v>
      </c>
      <c r="Y463" s="13">
        <f>('[244]M13A_RESIDENTS'!$L$34)/1000</f>
        <v>9030.916</v>
      </c>
      <c r="Z463" s="49">
        <f>('[244]M13A_RESIDENTS'!$L$37)/1000</f>
        <v>34522.06</v>
      </c>
      <c r="AA463" s="49">
        <f>SUM(AB463:AE463)</f>
        <v>7955.869999999999</v>
      </c>
      <c r="AB463" s="13">
        <f>('[244]M13A_RESIDENTS'!$L$4)/1000</f>
        <v>809.581</v>
      </c>
      <c r="AC463" s="13">
        <f>('[244]M13A_RESIDENTS'!$L$5)/1000</f>
        <v>0.056</v>
      </c>
      <c r="AD463" s="13">
        <f>('[244]M13A_RESIDENTS'!$L$7)/1000</f>
        <v>5670.642</v>
      </c>
      <c r="AE463" s="13">
        <f>('[244]M13A_RESIDENTS'!$L$6)/1000</f>
        <v>1475.591</v>
      </c>
      <c r="AF463" s="49">
        <f>('[244]M13A_RESIDENTS'!$L$38)/1000</f>
        <v>119625.411</v>
      </c>
      <c r="AG463" s="49">
        <f>('[244]M13A_RESIDENTS'!$L$45)/1000</f>
        <v>1649.185</v>
      </c>
      <c r="AH463" s="49">
        <f>('[244]M13A_RESIDENTS'!$L$46)/1000</f>
        <v>83529.635</v>
      </c>
      <c r="AI463" s="49">
        <f>('[244]M13A_RESIDENTS'!$L$39)/1000</f>
        <v>1744.948</v>
      </c>
      <c r="AJ463" s="49">
        <f>(SUM('[244]M13A_RESIDENTS'!$L$40:$L$43))/1000</f>
        <v>101737.667</v>
      </c>
      <c r="AK463" s="49">
        <f>('[244]M13A_RESIDENTS'!$L$44)/1000</f>
        <v>620060.526</v>
      </c>
      <c r="AL463" s="49">
        <f>('[244]SUMMARY'!$C$23)/1000</f>
        <v>92586.297</v>
      </c>
      <c r="AM463" s="14">
        <f>+B463+F463+G463+Q463+U463+V463+Z463+AA463+AF463+AH463+AI463+AJ463+AK463+AL463+AG463</f>
        <v>1248516.3499999999</v>
      </c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</row>
    <row r="464" spans="1:72" ht="15">
      <c r="A464" s="22">
        <v>45260</v>
      </c>
      <c r="B464" s="49">
        <f>SUM(C464:E464)</f>
        <v>12276.596000000001</v>
      </c>
      <c r="C464" s="13">
        <f>(SUM('[245]M13A_RESIDENTS'!$L$12:$L$18))/1000</f>
        <v>6827.929</v>
      </c>
      <c r="D464" s="13">
        <f>(SUM('[245]M13A_RESIDENTS'!$L$10:$L$11))/1000</f>
        <v>2110.021</v>
      </c>
      <c r="E464" s="13">
        <f>('[245]M13A_RESIDENTS'!$L$9)/1000</f>
        <v>3338.646</v>
      </c>
      <c r="F464" s="49">
        <f>(SUM('[245]M13A_RESIDENTS'!$L$28:$L$30))/1000</f>
        <v>2397.157</v>
      </c>
      <c r="G464" s="49">
        <f>SUM(H464:P464)</f>
        <v>45629.219</v>
      </c>
      <c r="H464" s="13">
        <f>('[245]M13A_RESIDENTS'!$L$25)/1000</f>
        <v>5922.205</v>
      </c>
      <c r="I464" s="13">
        <f>('[245]M13A_RESIDENTS'!$L$21)/1000</f>
        <v>13743.721</v>
      </c>
      <c r="J464" s="13">
        <f>('[245]M13A_RESIDENTS'!$L$24)/1000</f>
        <v>768.97</v>
      </c>
      <c r="K464" s="13">
        <f>('[245]M13A_RESIDENTS'!$L$26)/1000</f>
        <v>448.622</v>
      </c>
      <c r="L464" s="13">
        <f>('[245]M13A_RESIDENTS'!$L$22)/1000</f>
        <v>625.862</v>
      </c>
      <c r="M464" s="13">
        <f>('[245]M13A_RESIDENTS'!$L$23)/1000</f>
        <v>3284.073</v>
      </c>
      <c r="N464" s="13">
        <f>('[245]M13A_RESIDENTS'!$L$19)/1000</f>
        <v>1967.857</v>
      </c>
      <c r="O464" s="13">
        <f>('[245]M13A_RESIDENTS'!$L$20)/1000</f>
        <v>5092.989</v>
      </c>
      <c r="P464" s="13">
        <f>('[245]M13A_RESIDENTS'!$L$27)/1000</f>
        <v>13774.92</v>
      </c>
      <c r="Q464" s="49">
        <f>SUM(R464:T464)</f>
        <v>61126.133</v>
      </c>
      <c r="R464" s="13">
        <f>('[245]M13A_RESIDENTS'!$L$32)/1000</f>
        <v>54853.745</v>
      </c>
      <c r="S464" s="13">
        <f>('[245]M13A_RESIDENTS'!$L$31)/1000</f>
        <v>5653.292</v>
      </c>
      <c r="T464" s="13">
        <f>('[245]M13A_RESIDENTS'!$L$33)/1000</f>
        <v>619.096</v>
      </c>
      <c r="U464" s="49">
        <f>('[245]M13A_RESIDENTS'!$L$8)/1000</f>
        <v>36836.117</v>
      </c>
      <c r="V464" s="49">
        <f>SUM(W464:Y464)</f>
        <v>30649.324999999997</v>
      </c>
      <c r="W464" s="13">
        <f>('[245]M13A_RESIDENTS'!$L$36)/1000</f>
        <v>21142.547</v>
      </c>
      <c r="X464" s="13">
        <f>('[245]M13A_RESIDENTS'!$L$35)/1000</f>
        <v>358.79</v>
      </c>
      <c r="Y464" s="13">
        <f>('[245]M13A_RESIDENTS'!$L$34)/1000</f>
        <v>9147.988</v>
      </c>
      <c r="Z464" s="49">
        <f>('[245]M13A_RESIDENTS'!$L$37)/1000</f>
        <v>34349.873</v>
      </c>
      <c r="AA464" s="49">
        <f>SUM(AB464:AE464)</f>
        <v>11583.476999999999</v>
      </c>
      <c r="AB464" s="13">
        <f>('[245]M13A_RESIDENTS'!$L$4)/1000</f>
        <v>842.298</v>
      </c>
      <c r="AC464" s="13">
        <f>('[245]M13A_RESIDENTS'!$L$5)/1000</f>
        <v>0.053</v>
      </c>
      <c r="AD464" s="13">
        <f>('[245]M13A_RESIDENTS'!$L$7)/1000</f>
        <v>9265.729</v>
      </c>
      <c r="AE464" s="13">
        <f>('[245]M13A_RESIDENTS'!$L$6)/1000</f>
        <v>1475.397</v>
      </c>
      <c r="AF464" s="49">
        <f>('[245]M13A_RESIDENTS'!$L$38)/1000</f>
        <v>119520.235</v>
      </c>
      <c r="AG464" s="49">
        <f>('[245]M13A_RESIDENTS'!$L$45)/1000</f>
        <v>1719.228</v>
      </c>
      <c r="AH464" s="49">
        <f>('[245]M13A_RESIDENTS'!$L$46)/1000</f>
        <v>83058.575</v>
      </c>
      <c r="AI464" s="49">
        <f>('[245]M13A_RESIDENTS'!$L$39)/1000</f>
        <v>1717.758</v>
      </c>
      <c r="AJ464" s="49">
        <f>(SUM('[245]M13A_RESIDENTS'!$L$40:$L$43))/1000</f>
        <v>103011.414</v>
      </c>
      <c r="AK464" s="49">
        <f>('[245]M13A_RESIDENTS'!$L$44)/1000</f>
        <v>628121.992</v>
      </c>
      <c r="AL464" s="49">
        <f>('[245]SUMMARY'!$C$23)/1000</f>
        <v>88271.07</v>
      </c>
      <c r="AM464" s="14">
        <f>+B464+F464+G464+Q464+U464+V464+Z464+AA464+AF464+AH464+AI464+AJ464+AK464+AL464+AG464</f>
        <v>1260268.1689999998</v>
      </c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</row>
    <row r="465" spans="1:72" ht="15">
      <c r="A465" s="22">
        <v>45291</v>
      </c>
      <c r="B465" s="49">
        <f>SUM(C465:E465)</f>
        <v>13932.696</v>
      </c>
      <c r="C465" s="13">
        <f>(SUM('[246]M13A_RESIDENTS'!$L$12:$L$18))/1000</f>
        <v>7015.264</v>
      </c>
      <c r="D465" s="13">
        <f>(SUM('[246]M13A_RESIDENTS'!$L$10:$L$11))/1000</f>
        <v>3579.791</v>
      </c>
      <c r="E465" s="13">
        <f>('[246]M13A_RESIDENTS'!$L$9)/1000</f>
        <v>3337.641</v>
      </c>
      <c r="F465" s="49">
        <f>(SUM('[246]M13A_RESIDENTS'!$L$28:$L$30))/1000</f>
        <v>2366.283</v>
      </c>
      <c r="G465" s="49">
        <f>SUM(H465:P465)</f>
        <v>50563.176</v>
      </c>
      <c r="H465" s="13">
        <f>('[246]M13A_RESIDENTS'!$L$25)/1000</f>
        <v>5870.482</v>
      </c>
      <c r="I465" s="13">
        <f>('[246]M13A_RESIDENTS'!$L$21)/1000</f>
        <v>18875.854</v>
      </c>
      <c r="J465" s="13">
        <f>('[246]M13A_RESIDENTS'!$L$24)/1000</f>
        <v>762.301</v>
      </c>
      <c r="K465" s="13">
        <f>('[246]M13A_RESIDENTS'!$L$26)/1000</f>
        <v>428.798</v>
      </c>
      <c r="L465" s="13">
        <f>('[246]M13A_RESIDENTS'!$L$22)/1000</f>
        <v>565.888</v>
      </c>
      <c r="M465" s="13">
        <f>('[246]M13A_RESIDENTS'!$L$23)/1000</f>
        <v>3277.285</v>
      </c>
      <c r="N465" s="13">
        <f>('[246]M13A_RESIDENTS'!$L$19)/1000</f>
        <v>1922.614</v>
      </c>
      <c r="O465" s="13">
        <f>('[246]M13A_RESIDENTS'!$L$20)/1000</f>
        <v>5091.27</v>
      </c>
      <c r="P465" s="13">
        <f>('[246]M13A_RESIDENTS'!$L$27)/1000</f>
        <v>13768.684</v>
      </c>
      <c r="Q465" s="49">
        <f>SUM(R465:T465)</f>
        <v>58868.139</v>
      </c>
      <c r="R465" s="13">
        <f>('[246]M13A_RESIDENTS'!$L$32)/1000</f>
        <v>52562.892</v>
      </c>
      <c r="S465" s="13">
        <f>('[246]M13A_RESIDENTS'!$L$31)/1000</f>
        <v>5686.301</v>
      </c>
      <c r="T465" s="13">
        <f>('[246]M13A_RESIDENTS'!$L$33)/1000</f>
        <v>618.946</v>
      </c>
      <c r="U465" s="49">
        <f>('[246]M13A_RESIDENTS'!$L$8)/1000</f>
        <v>37895.756</v>
      </c>
      <c r="V465" s="49">
        <f>SUM(W465:Y465)</f>
        <v>30802.495000000003</v>
      </c>
      <c r="W465" s="13">
        <f>('[246]M13A_RESIDENTS'!$L$36)/1000</f>
        <v>21372.922</v>
      </c>
      <c r="X465" s="13">
        <f>('[246]M13A_RESIDENTS'!$L$35)/1000</f>
        <v>355.222</v>
      </c>
      <c r="Y465" s="13">
        <f>('[246]M13A_RESIDENTS'!$L$34)/1000</f>
        <v>9074.351</v>
      </c>
      <c r="Z465" s="49">
        <f>('[246]M13A_RESIDENTS'!$L$37)/1000</f>
        <v>33689.627</v>
      </c>
      <c r="AA465" s="49">
        <f>SUM(AB465:AE465)</f>
        <v>10329.214</v>
      </c>
      <c r="AB465" s="13">
        <f>('[246]M13A_RESIDENTS'!$L$4)/1000</f>
        <v>1057.508</v>
      </c>
      <c r="AC465" s="13">
        <f>('[246]M13A_RESIDENTS'!$L$5)/1000</f>
        <v>0.056</v>
      </c>
      <c r="AD465" s="13">
        <f>('[246]M13A_RESIDENTS'!$L$7)/1000</f>
        <v>7820.697</v>
      </c>
      <c r="AE465" s="13">
        <f>('[246]M13A_RESIDENTS'!$L$6)/1000</f>
        <v>1450.953</v>
      </c>
      <c r="AF465" s="49">
        <f>('[246]M13A_RESIDENTS'!$L$38)/1000</f>
        <v>120862.323</v>
      </c>
      <c r="AG465" s="49">
        <f>('[246]M13A_RESIDENTS'!$L$45)/1000</f>
        <v>1844.585</v>
      </c>
      <c r="AH465" s="49">
        <f>('[246]M13A_RESIDENTS'!$L$46)/1000</f>
        <v>82609.301</v>
      </c>
      <c r="AI465" s="49">
        <f>('[246]M13A_RESIDENTS'!$L$39)/1000</f>
        <v>1670.629</v>
      </c>
      <c r="AJ465" s="49">
        <f>(SUM('[246]M13A_RESIDENTS'!$L$40:$L$43))/1000</f>
        <v>105950.611</v>
      </c>
      <c r="AK465" s="49">
        <f>('[246]M13A_RESIDENTS'!$L$44)/1000</f>
        <v>640456.584</v>
      </c>
      <c r="AL465" s="49">
        <f>('[246]SUMMARY'!$C$23)/1000</f>
        <v>89841.249</v>
      </c>
      <c r="AM465" s="14">
        <f>+B465+F465+G465+Q465+U465+V465+Z465+AA465+AF465+AH465+AI465+AJ465+AK465+AL465+AG465</f>
        <v>1281682.668</v>
      </c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</row>
    <row r="466" spans="1:72" ht="15">
      <c r="A466" s="22">
        <v>45322</v>
      </c>
      <c r="B466" s="49">
        <f>SUM(C466:E466)</f>
        <v>12108.43</v>
      </c>
      <c r="C466" s="13">
        <f>(SUM('[247]M13A_RESIDENTS'!$L$12:$L$18))/1000</f>
        <v>6005.391</v>
      </c>
      <c r="D466" s="13">
        <f>(SUM('[247]M13A_RESIDENTS'!$L$10:$L$11))/1000</f>
        <v>2883.794</v>
      </c>
      <c r="E466" s="13">
        <f>('[247]M13A_RESIDENTS'!$L$9)/1000</f>
        <v>3219.245</v>
      </c>
      <c r="F466" s="49">
        <f>(SUM('[247]M13A_RESIDENTS'!$L$28:$L$30))/1000</f>
        <v>2324.951</v>
      </c>
      <c r="G466" s="49">
        <f>SUM(H466:P466)</f>
        <v>49731.659999999996</v>
      </c>
      <c r="H466" s="13">
        <f>('[247]M13A_RESIDENTS'!$L$25)/1000</f>
        <v>6021.306</v>
      </c>
      <c r="I466" s="13">
        <f>('[247]M13A_RESIDENTS'!$L$21)/1000</f>
        <v>18458.823</v>
      </c>
      <c r="J466" s="13">
        <f>('[247]M13A_RESIDENTS'!$L$24)/1000</f>
        <v>946.408</v>
      </c>
      <c r="K466" s="13">
        <f>('[247]M13A_RESIDENTS'!$L$26)/1000</f>
        <v>430.752</v>
      </c>
      <c r="L466" s="13">
        <f>('[247]M13A_RESIDENTS'!$L$22)/1000</f>
        <v>614.557</v>
      </c>
      <c r="M466" s="13">
        <f>('[247]M13A_RESIDENTS'!$L$23)/1000</f>
        <v>3302.583</v>
      </c>
      <c r="N466" s="13">
        <f>('[247]M13A_RESIDENTS'!$L$19)/1000</f>
        <v>1874.798</v>
      </c>
      <c r="O466" s="13">
        <f>('[247]M13A_RESIDENTS'!$L$20)/1000</f>
        <v>5021.681</v>
      </c>
      <c r="P466" s="13">
        <f>('[247]M13A_RESIDENTS'!$L$27)/1000</f>
        <v>13060.752</v>
      </c>
      <c r="Q466" s="49">
        <f>SUM(R466:T466)</f>
        <v>61962.57</v>
      </c>
      <c r="R466" s="13">
        <f>('[247]M13A_RESIDENTS'!$L$32)/1000</f>
        <v>55636.118</v>
      </c>
      <c r="S466" s="13">
        <f>('[247]M13A_RESIDENTS'!$L$31)/1000</f>
        <v>5687.789</v>
      </c>
      <c r="T466" s="13">
        <f>('[247]M13A_RESIDENTS'!$L$33)/1000</f>
        <v>638.663</v>
      </c>
      <c r="U466" s="49">
        <f>('[247]M13A_RESIDENTS'!$L$8)/1000</f>
        <v>37646.409</v>
      </c>
      <c r="V466" s="49">
        <f>SUM(W466:Y466)</f>
        <v>30707.892999999996</v>
      </c>
      <c r="W466" s="13">
        <f>('[247]M13A_RESIDENTS'!$L$36)/1000</f>
        <v>21429.833</v>
      </c>
      <c r="X466" s="13">
        <f>('[247]M13A_RESIDENTS'!$L$35)/1000</f>
        <v>346.334</v>
      </c>
      <c r="Y466" s="13">
        <f>('[247]M13A_RESIDENTS'!$L$34)/1000</f>
        <v>8931.726</v>
      </c>
      <c r="Z466" s="49">
        <f>('[247]M13A_RESIDENTS'!$L$37)/1000</f>
        <v>32394.695</v>
      </c>
      <c r="AA466" s="49">
        <f>SUM(AB466:AE466)</f>
        <v>5883.085</v>
      </c>
      <c r="AB466" s="13">
        <f>('[247]M13A_RESIDENTS'!$L$4)/1000</f>
        <v>980.061</v>
      </c>
      <c r="AC466" s="13">
        <f>('[247]M13A_RESIDENTS'!$L$5)/1000</f>
        <v>0.058</v>
      </c>
      <c r="AD466" s="13">
        <f>('[247]M13A_RESIDENTS'!$L$7)/1000</f>
        <v>3452.217</v>
      </c>
      <c r="AE466" s="13">
        <f>('[247]M13A_RESIDENTS'!$L$6)/1000</f>
        <v>1450.749</v>
      </c>
      <c r="AF466" s="49">
        <f>('[247]M13A_RESIDENTS'!$L$38)/1000</f>
        <v>118744.468</v>
      </c>
      <c r="AG466" s="49">
        <f>('[247]M13A_RESIDENTS'!$L$45)/1000</f>
        <v>1814.631</v>
      </c>
      <c r="AH466" s="49">
        <f>('[247]M13A_RESIDENTS'!$L$46)/1000</f>
        <v>84170.158</v>
      </c>
      <c r="AI466" s="49">
        <f>('[247]M13A_RESIDENTS'!$L$39)/1000</f>
        <v>2037.816</v>
      </c>
      <c r="AJ466" s="49">
        <f>(SUM('[247]M13A_RESIDENTS'!$L$40:$L$43))/1000</f>
        <v>105539.376</v>
      </c>
      <c r="AK466" s="49">
        <f>('[247]M13A_RESIDENTS'!$L$44)/1000</f>
        <v>643557.532</v>
      </c>
      <c r="AL466" s="49">
        <f>('[247]SUMMARY'!$C$23)/1000</f>
        <v>95571.81</v>
      </c>
      <c r="AM466" s="14">
        <f>+B466+F466+G466+Q466+U466+V466+Z466+AA466+AF466+AH466+AI466+AJ466+AK466+AL466+AG466</f>
        <v>1284195.4840000002</v>
      </c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</row>
    <row r="467" spans="1:72" ht="15">
      <c r="A467" s="22">
        <v>45351</v>
      </c>
      <c r="B467" s="49">
        <f>SUM(C467:E467)</f>
        <v>12176.518</v>
      </c>
      <c r="C467" s="13">
        <f>(SUM('[248]M13A_RESIDENTS'!$L$12:$L$18))/1000</f>
        <v>6079.337</v>
      </c>
      <c r="D467" s="13">
        <f>(SUM('[248]M13A_RESIDENTS'!$L$10:$L$11))/1000</f>
        <v>2879.105</v>
      </c>
      <c r="E467" s="13">
        <f>('[248]M13A_RESIDENTS'!$L$9)/1000</f>
        <v>3218.076</v>
      </c>
      <c r="F467" s="49">
        <f>(SUM('[248]M13A_RESIDENTS'!$L$28:$L$30))/1000</f>
        <v>2262.996</v>
      </c>
      <c r="G467" s="49">
        <f>SUM(H467:P467)</f>
        <v>48608.31399999999</v>
      </c>
      <c r="H467" s="13">
        <f>('[248]M13A_RESIDENTS'!$L$25)/1000</f>
        <v>5902.148</v>
      </c>
      <c r="I467" s="13">
        <f>('[248]M13A_RESIDENTS'!$L$21)/1000</f>
        <v>18029.638</v>
      </c>
      <c r="J467" s="13">
        <f>('[248]M13A_RESIDENTS'!$L$24)/1000</f>
        <v>954.303</v>
      </c>
      <c r="K467" s="13">
        <f>('[248]M13A_RESIDENTS'!$L$26)/1000</f>
        <v>429.912</v>
      </c>
      <c r="L467" s="13">
        <f>('[248]M13A_RESIDENTS'!$L$22)/1000</f>
        <v>568.67</v>
      </c>
      <c r="M467" s="13">
        <f>('[248]M13A_RESIDENTS'!$L$23)/1000</f>
        <v>3367.18</v>
      </c>
      <c r="N467" s="13">
        <f>('[248]M13A_RESIDENTS'!$L$19)/1000</f>
        <v>1788.189</v>
      </c>
      <c r="O467" s="13">
        <f>('[248]M13A_RESIDENTS'!$L$20)/1000</f>
        <v>4956.197</v>
      </c>
      <c r="P467" s="13">
        <f>('[248]M13A_RESIDENTS'!$L$27)/1000</f>
        <v>12612.077</v>
      </c>
      <c r="Q467" s="49">
        <f>SUM(R467:T467)</f>
        <v>61524.905000000006</v>
      </c>
      <c r="R467" s="13">
        <f>('[248]M13A_RESIDENTS'!$L$32)/1000</f>
        <v>55160.745</v>
      </c>
      <c r="S467" s="13">
        <f>('[248]M13A_RESIDENTS'!$L$31)/1000</f>
        <v>5739.696</v>
      </c>
      <c r="T467" s="13">
        <f>('[248]M13A_RESIDENTS'!$L$33)/1000</f>
        <v>624.464</v>
      </c>
      <c r="U467" s="49">
        <f>('[248]M13A_RESIDENTS'!$L$8)/1000</f>
        <v>38459.841</v>
      </c>
      <c r="V467" s="49">
        <f>SUM(W467:Y467)</f>
        <v>30002.37</v>
      </c>
      <c r="W467" s="13">
        <f>('[248]M13A_RESIDENTS'!$L$36)/1000</f>
        <v>21486.019</v>
      </c>
      <c r="X467" s="13">
        <f>('[248]M13A_RESIDENTS'!$L$35)/1000</f>
        <v>340.332</v>
      </c>
      <c r="Y467" s="13">
        <f>('[248]M13A_RESIDENTS'!$L$34)/1000</f>
        <v>8176.019</v>
      </c>
      <c r="Z467" s="49">
        <f>('[248]M13A_RESIDENTS'!$L$37)/1000</f>
        <v>32438.777</v>
      </c>
      <c r="AA467" s="49">
        <f>SUM(AB467:AE467)</f>
        <v>9797.533</v>
      </c>
      <c r="AB467" s="13">
        <f>('[248]M13A_RESIDENTS'!$L$4)/1000</f>
        <v>885.196</v>
      </c>
      <c r="AC467" s="13">
        <f>('[248]M13A_RESIDENTS'!$L$5)/1000</f>
        <v>1.189</v>
      </c>
      <c r="AD467" s="13">
        <f>('[248]M13A_RESIDENTS'!$L$7)/1000</f>
        <v>7459.076</v>
      </c>
      <c r="AE467" s="13">
        <f>('[248]M13A_RESIDENTS'!$L$6)/1000</f>
        <v>1452.072</v>
      </c>
      <c r="AF467" s="49">
        <f>('[248]M13A_RESIDENTS'!$L$38)/1000</f>
        <v>118842.442</v>
      </c>
      <c r="AG467" s="49">
        <f>('[248]M13A_RESIDENTS'!$L$45)/1000</f>
        <v>1795.415</v>
      </c>
      <c r="AH467" s="49">
        <f>('[248]M13A_RESIDENTS'!$L$46)/1000</f>
        <v>83677.983</v>
      </c>
      <c r="AI467" s="49">
        <f>('[248]M13A_RESIDENTS'!$L$39)/1000</f>
        <v>1971.933</v>
      </c>
      <c r="AJ467" s="49">
        <f>(SUM('[248]M13A_RESIDENTS'!$L$40:$L$43))/1000</f>
        <v>109857.201</v>
      </c>
      <c r="AK467" s="49">
        <f>('[248]M13A_RESIDENTS'!$L$44)/1000</f>
        <v>650845.184</v>
      </c>
      <c r="AL467" s="49">
        <f>('[248]SUMMARY'!$C$23)/1000</f>
        <v>97040.503</v>
      </c>
      <c r="AM467" s="14">
        <f>+B467+F467+G467+Q467+U467+V467+Z467+AA467+AF467+AH467+AI467+AJ467+AK467+AL467+AG467</f>
        <v>1299301.915</v>
      </c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</row>
    <row r="468" spans="2:72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</row>
    <row r="469" spans="2:72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</row>
    <row r="470" spans="2:72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</row>
    <row r="471" spans="2:72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</row>
    <row r="472" spans="2:72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</row>
    <row r="473" spans="2:72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</row>
    <row r="474" spans="2:72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</row>
    <row r="475" spans="2:72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</row>
    <row r="476" spans="2:72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</row>
    <row r="477" spans="2:72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</row>
    <row r="478" spans="2:72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</row>
    <row r="479" spans="2:72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</row>
    <row r="480" spans="2:72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</row>
    <row r="481" spans="2:72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</row>
    <row r="482" spans="2:72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</row>
    <row r="483" spans="2:72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</row>
    <row r="484" spans="2:72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</row>
    <row r="485" spans="2:72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</row>
    <row r="486" spans="2:72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</row>
    <row r="487" spans="2:72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</row>
    <row r="488" spans="2:72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</row>
    <row r="489" spans="2:72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</row>
    <row r="490" spans="2:72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</row>
    <row r="491" spans="2:72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</row>
    <row r="492" spans="2:72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</row>
    <row r="493" spans="2:72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</row>
    <row r="494" spans="2:72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</row>
    <row r="495" spans="2:72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</row>
    <row r="496" spans="2:72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</row>
    <row r="497" spans="2:72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</row>
    <row r="498" spans="2:72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</row>
    <row r="499" spans="2:72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</row>
    <row r="500" spans="2:72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</row>
    <row r="501" spans="2:72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</row>
    <row r="502" spans="2:72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</row>
    <row r="503" spans="2:72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</row>
    <row r="504" spans="2:72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</row>
    <row r="505" spans="2:72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</row>
    <row r="506" spans="2:72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</row>
    <row r="507" spans="2:72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</row>
    <row r="508" spans="2:72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</row>
    <row r="509" spans="2:72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</row>
    <row r="510" spans="2:72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</row>
    <row r="511" spans="2:72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</row>
    <row r="512" spans="2:72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</row>
    <row r="513" spans="2:72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</row>
    <row r="514" spans="2:72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</row>
    <row r="515" spans="2:72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</row>
    <row r="516" spans="2:72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</row>
    <row r="517" spans="2:72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</row>
    <row r="518" spans="2:72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</row>
    <row r="519" spans="2:72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</row>
    <row r="520" spans="2:72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</row>
    <row r="521" spans="2:72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</row>
    <row r="522" spans="2:72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</row>
    <row r="523" spans="2:72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</row>
    <row r="524" spans="2:72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</row>
    <row r="525" spans="2:72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</row>
    <row r="526" spans="2:72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</row>
    <row r="527" spans="2:72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</row>
    <row r="528" spans="2:72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</row>
    <row r="529" spans="2:72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</row>
    <row r="530" spans="2:72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</row>
    <row r="531" spans="2:72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</row>
    <row r="532" spans="2:72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</row>
    <row r="533" spans="2:72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</row>
    <row r="534" spans="2:72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</row>
    <row r="535" spans="2:72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</row>
    <row r="536" spans="2:72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</row>
    <row r="537" spans="2:72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</row>
    <row r="538" spans="2:72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</row>
    <row r="539" spans="2:72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</row>
    <row r="540" spans="2:72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</row>
    <row r="541" spans="2:72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</row>
    <row r="542" spans="2:72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</row>
    <row r="543" spans="2:72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</row>
    <row r="544" spans="2:72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</row>
    <row r="545" spans="2:72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</row>
    <row r="546" spans="2:72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</row>
    <row r="547" spans="2:72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</row>
    <row r="548" spans="2:72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</row>
    <row r="549" spans="2:72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</row>
    <row r="550" spans="2:72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</row>
    <row r="551" spans="2:72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</row>
    <row r="552" spans="2:72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</row>
    <row r="553" spans="2:72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</row>
    <row r="554" spans="2:72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</row>
    <row r="555" spans="2:72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</row>
    <row r="556" spans="2:72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</row>
    <row r="557" spans="2:72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</row>
    <row r="558" spans="2:72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</row>
    <row r="559" spans="2:72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</row>
    <row r="560" spans="2:72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</row>
    <row r="561" spans="2:72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</row>
    <row r="562" spans="2:72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</row>
    <row r="563" spans="2:72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</row>
    <row r="564" spans="2:72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</row>
    <row r="565" spans="2:72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</row>
    <row r="566" spans="2:72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</row>
    <row r="567" spans="2:72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</row>
    <row r="568" spans="2:72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</row>
    <row r="569" spans="2:72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</row>
    <row r="570" spans="2:72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</row>
    <row r="571" spans="2:72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</row>
    <row r="572" spans="2:72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</row>
    <row r="573" spans="2:72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</row>
    <row r="574" spans="2:72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</row>
    <row r="575" spans="2:72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</row>
    <row r="576" spans="2:72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</row>
    <row r="577" spans="2:72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</row>
    <row r="578" spans="2:72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</row>
    <row r="579" spans="2:72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</row>
    <row r="580" spans="2:72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</row>
    <row r="581" spans="2:72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</row>
    <row r="582" spans="2:72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</row>
    <row r="583" spans="2:72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</row>
    <row r="584" spans="2:72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</row>
    <row r="585" spans="2:72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</row>
    <row r="586" spans="2:72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</row>
    <row r="587" spans="2:72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</row>
    <row r="588" spans="2:72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</row>
    <row r="589" spans="2:72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</row>
    <row r="590" spans="2:72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</row>
    <row r="591" spans="2:72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</row>
    <row r="592" spans="2:72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</row>
    <row r="593" spans="2:72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</row>
    <row r="594" spans="2:72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</row>
    <row r="595" spans="2:72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</row>
    <row r="596" spans="2:72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</row>
    <row r="597" spans="2:72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</row>
    <row r="598" spans="2:72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</row>
    <row r="599" spans="2:72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</row>
    <row r="600" spans="2:72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</row>
    <row r="601" spans="2:72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</row>
    <row r="602" spans="2:72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</row>
    <row r="603" spans="2:72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</row>
    <row r="604" spans="2:72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</row>
    <row r="605" spans="2:72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</row>
    <row r="606" spans="2:72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</row>
    <row r="607" spans="2:72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</row>
    <row r="608" spans="2:72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</row>
    <row r="609" spans="2:72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</row>
    <row r="610" spans="2:72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</row>
    <row r="611" spans="2:72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</row>
    <row r="612" spans="2:72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</row>
    <row r="613" spans="2:72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</row>
    <row r="614" spans="2:72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</row>
    <row r="615" spans="2:72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</row>
    <row r="616" spans="2:72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</row>
    <row r="617" spans="2:72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</row>
    <row r="618" spans="2:72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</row>
    <row r="619" spans="2:72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</row>
    <row r="620" spans="2:72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</row>
    <row r="621" spans="2:72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</row>
    <row r="622" spans="2:72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</row>
    <row r="623" spans="2:72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</row>
    <row r="624" spans="2:72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</row>
    <row r="625" spans="2:72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</row>
    <row r="626" spans="2:72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</row>
    <row r="627" spans="2:72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</row>
    <row r="628" spans="2:72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</row>
    <row r="629" spans="2:72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</row>
    <row r="630" spans="2:72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</row>
    <row r="631" spans="2:72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</row>
    <row r="632" spans="2:72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</row>
    <row r="633" spans="2:72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</row>
    <row r="634" spans="2:72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</row>
    <row r="635" spans="2:72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</row>
    <row r="636" spans="2:72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</row>
    <row r="637" spans="2:72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</row>
    <row r="638" spans="2:72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</row>
    <row r="639" spans="2:72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</row>
    <row r="640" spans="2:72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</row>
    <row r="641" spans="2:72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</row>
    <row r="642" spans="2:72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</row>
    <row r="643" spans="2:72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</row>
    <row r="644" spans="2:72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</row>
    <row r="645" spans="2:72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</row>
    <row r="646" spans="2:72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</row>
    <row r="647" spans="2:72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</row>
    <row r="648" spans="2:72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</row>
    <row r="649" spans="2:72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</row>
    <row r="650" spans="2:72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</row>
    <row r="651" spans="2:72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</row>
    <row r="652" spans="2:72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</row>
    <row r="653" spans="2:72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</row>
    <row r="654" spans="2:72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</row>
    <row r="655" spans="2:72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</row>
    <row r="656" spans="2:72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</row>
    <row r="657" spans="2:72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</row>
    <row r="658" spans="2:72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</row>
    <row r="659" spans="2:72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</row>
    <row r="660" spans="2:72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</row>
    <row r="661" spans="2:72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</row>
    <row r="662" spans="2:72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</row>
    <row r="663" spans="2:72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</row>
    <row r="664" spans="2:72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</row>
    <row r="665" spans="2:72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</row>
    <row r="666" spans="2:72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</row>
    <row r="667" spans="2:72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</row>
    <row r="668" spans="2:72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</row>
    <row r="669" spans="2:72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</row>
    <row r="670" spans="2:72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</row>
    <row r="671" spans="2:72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</row>
    <row r="672" spans="2:72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</row>
    <row r="673" spans="2:72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</row>
    <row r="674" spans="2:72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</row>
    <row r="675" spans="2:72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</row>
    <row r="676" spans="2:72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</row>
    <row r="677" spans="2:72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</row>
    <row r="678" spans="2:72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</row>
    <row r="679" spans="2:72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</row>
    <row r="680" spans="2:72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</row>
    <row r="681" spans="2:72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</row>
    <row r="682" spans="2:72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</row>
    <row r="683" spans="2:72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</row>
    <row r="684" spans="2:72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</row>
    <row r="685" spans="2:72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</row>
    <row r="686" spans="2:72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</row>
    <row r="687" spans="2:72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</row>
    <row r="688" spans="2:72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</row>
    <row r="689" spans="2:72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</row>
    <row r="690" spans="2:72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</row>
    <row r="691" spans="2:72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</row>
    <row r="692" spans="2:72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</row>
    <row r="693" spans="2:72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</row>
    <row r="694" spans="2:72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</row>
    <row r="695" spans="2:72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</row>
    <row r="696" spans="2:72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</row>
    <row r="697" spans="2:72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</row>
    <row r="698" spans="2:72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</row>
    <row r="699" spans="2:72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</row>
    <row r="700" spans="2:72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</row>
    <row r="701" spans="2:72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</row>
    <row r="702" spans="2:72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</row>
    <row r="703" spans="2:72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</row>
    <row r="704" spans="2:72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</row>
    <row r="705" spans="2:72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</row>
    <row r="706" spans="2:72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</row>
    <row r="707" spans="2:72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</row>
    <row r="708" spans="2:72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</row>
    <row r="709" spans="2:72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</row>
    <row r="710" spans="2:72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</row>
    <row r="711" spans="2:72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</row>
    <row r="712" spans="2:72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</row>
    <row r="713" spans="2:72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</row>
    <row r="714" spans="2:72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</row>
    <row r="715" spans="2:72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</row>
    <row r="716" spans="2:72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</row>
    <row r="717" spans="2:72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</row>
    <row r="718" spans="2:72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</row>
    <row r="719" spans="2:72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</row>
    <row r="720" spans="2:72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</row>
    <row r="721" spans="2:72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</row>
    <row r="722" spans="2:72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</row>
    <row r="723" spans="2:72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</row>
    <row r="724" spans="2:72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</row>
    <row r="725" spans="2:72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</row>
    <row r="726" spans="2:72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</row>
    <row r="727" spans="2:72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</row>
    <row r="728" spans="2:72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</row>
    <row r="729" spans="2:72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</row>
    <row r="730" spans="2:72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</row>
    <row r="731" spans="2:72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</row>
    <row r="732" spans="2:72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</row>
    <row r="733" spans="2:72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</row>
    <row r="734" spans="2:72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</row>
    <row r="735" spans="2:72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</row>
    <row r="736" spans="2:72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</row>
    <row r="737" spans="2:72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</row>
    <row r="738" spans="2:72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</row>
    <row r="739" spans="2:72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</row>
    <row r="740" spans="2:72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</row>
    <row r="741" spans="2:72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</row>
    <row r="742" spans="2:72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</row>
    <row r="743" spans="2:72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</row>
    <row r="744" spans="2:72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</row>
    <row r="745" spans="2:72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</row>
    <row r="746" spans="2:72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</row>
    <row r="747" spans="2:72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</row>
    <row r="748" spans="2:72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</row>
    <row r="749" spans="2:72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</row>
    <row r="750" spans="2:72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</row>
    <row r="751" spans="2:72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</row>
    <row r="752" spans="2:72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</row>
    <row r="753" spans="2:72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</row>
    <row r="754" spans="2:72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</row>
    <row r="755" spans="2:72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</row>
    <row r="756" spans="2:72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</row>
    <row r="757" spans="2:72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</row>
    <row r="758" spans="2:72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</row>
    <row r="759" spans="2:72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</row>
    <row r="760" spans="2:72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</row>
    <row r="761" spans="2:72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</row>
    <row r="762" spans="2:72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</row>
    <row r="763" spans="2:72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</row>
    <row r="764" spans="2:72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</row>
    <row r="765" spans="2:72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</row>
    <row r="766" spans="2:72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</row>
    <row r="767" spans="2:72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</row>
    <row r="768" spans="2:72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</row>
    <row r="769" spans="2:72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</row>
    <row r="770" spans="2:72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</row>
    <row r="771" spans="2:72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</row>
    <row r="772" spans="2:72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</row>
    <row r="773" spans="2:72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</row>
    <row r="774" spans="2:72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</row>
    <row r="775" spans="2:72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</row>
    <row r="776" spans="2:72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</row>
    <row r="777" spans="2:72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</row>
    <row r="778" spans="2:72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</row>
    <row r="779" spans="2:72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</row>
    <row r="780" spans="2:72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</row>
    <row r="781" spans="2:72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</row>
    <row r="782" spans="2:72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</row>
    <row r="783" spans="2:72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</row>
    <row r="784" spans="2:72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</row>
    <row r="785" spans="2:72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</row>
    <row r="786" spans="2:72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</row>
    <row r="787" spans="2:72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</row>
    <row r="788" spans="2:72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</row>
    <row r="789" spans="2:72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</row>
    <row r="790" spans="2:72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</row>
    <row r="791" spans="2:72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</row>
    <row r="792" spans="2:72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</row>
    <row r="793" spans="2:72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</row>
    <row r="794" spans="2:72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</row>
    <row r="795" spans="2:72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</row>
    <row r="796" spans="2:72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</row>
    <row r="797" spans="2:72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</row>
    <row r="798" spans="2:72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</row>
    <row r="799" spans="2:72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</row>
    <row r="800" spans="2:72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</row>
    <row r="801" spans="2:72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</row>
    <row r="802" spans="2:72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</row>
    <row r="803" spans="2:72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</row>
    <row r="804" spans="2:72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</row>
    <row r="805" spans="2:72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</row>
    <row r="806" spans="2:72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</row>
    <row r="807" spans="2:72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</row>
    <row r="808" spans="2:72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</row>
    <row r="809" spans="2:72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</row>
    <row r="810" spans="2:72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</row>
    <row r="811" spans="2:72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</row>
    <row r="812" spans="2:72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</row>
    <row r="813" spans="2:72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</row>
    <row r="814" spans="2:72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</row>
    <row r="815" spans="2:72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</row>
    <row r="816" spans="2:72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</row>
    <row r="817" spans="2:72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</row>
    <row r="818" spans="2:72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</row>
    <row r="819" spans="2:72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</row>
    <row r="820" spans="2:72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</row>
    <row r="821" spans="2:72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</row>
    <row r="822" spans="2:72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</row>
    <row r="823" spans="2:72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</row>
    <row r="824" spans="2:72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</row>
    <row r="825" spans="2:72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</row>
    <row r="826" spans="2:72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</row>
    <row r="827" spans="2:72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</row>
    <row r="828" spans="2:72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</row>
    <row r="829" spans="2:72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</row>
    <row r="830" spans="2:72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</row>
    <row r="831" spans="2:72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</row>
    <row r="832" spans="2:72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</row>
    <row r="833" spans="2:72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</row>
    <row r="834" spans="2:72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</row>
    <row r="835" spans="2:72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</row>
    <row r="836" spans="2:72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</row>
    <row r="837" spans="2:72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</row>
    <row r="838" spans="2:72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</row>
    <row r="839" spans="2:72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</row>
    <row r="840" spans="2:72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</row>
    <row r="841" spans="2:72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</row>
    <row r="842" spans="2:72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</row>
    <row r="843" spans="2:72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</row>
    <row r="844" spans="2:72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</row>
    <row r="845" spans="2:72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</row>
    <row r="846" spans="2:72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</row>
    <row r="847" spans="2:72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</row>
    <row r="848" spans="2:72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</row>
    <row r="849" spans="2:72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</row>
    <row r="850" spans="2:72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</row>
    <row r="851" spans="2:72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</row>
    <row r="852" spans="2:72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</row>
    <row r="853" spans="2:72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</row>
    <row r="854" spans="2:72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</row>
    <row r="855" spans="2:72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</row>
    <row r="856" spans="2:72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</row>
    <row r="857" spans="2:72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</row>
    <row r="858" spans="2:72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</row>
    <row r="859" spans="2:72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</row>
    <row r="860" spans="2:72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</row>
    <row r="861" spans="2:72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</row>
    <row r="862" spans="2:72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</row>
    <row r="863" spans="2:72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</row>
    <row r="864" spans="2:72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</row>
    <row r="865" spans="2:72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</row>
    <row r="866" spans="2:72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</row>
    <row r="867" spans="2:72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</row>
    <row r="868" spans="2:72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</row>
    <row r="869" spans="2:72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</row>
    <row r="870" spans="2:72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</row>
    <row r="871" spans="2:72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</row>
    <row r="872" spans="2:72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</row>
  </sheetData>
  <sheetProtection/>
  <mergeCells count="16">
    <mergeCell ref="AI11:AI12"/>
    <mergeCell ref="AJ11:AJ12"/>
    <mergeCell ref="AK11:AK12"/>
    <mergeCell ref="AL11:AL12"/>
    <mergeCell ref="AM11:AM12"/>
    <mergeCell ref="Z11:Z12"/>
    <mergeCell ref="AA11:AE11"/>
    <mergeCell ref="AF11:AF12"/>
    <mergeCell ref="AG11:AG12"/>
    <mergeCell ref="AH11:AH12"/>
    <mergeCell ref="B11:E11"/>
    <mergeCell ref="F11:F12"/>
    <mergeCell ref="G11:P11"/>
    <mergeCell ref="Q11:T11"/>
    <mergeCell ref="U11:U12"/>
    <mergeCell ref="V11:Y11"/>
  </mergeCells>
  <printOptions horizontalCentered="1"/>
  <pageMargins left="0.45" right="0.45" top="0.75" bottom="0.75" header="0.3" footer="0.3"/>
  <pageSetup fitToHeight="1" fitToWidth="1" horizontalDpi="600" verticalDpi="600" orientation="landscape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"/>
  <sheetViews>
    <sheetView showGridLines="0" zoomScalePageLayoutView="0" workbookViewId="0" topLeftCell="A1">
      <selection activeCell="C13" sqref="C13"/>
    </sheetView>
  </sheetViews>
  <sheetFormatPr defaultColWidth="9.140625" defaultRowHeight="15"/>
  <cols>
    <col min="1" max="16384" width="9.140625" style="1" customWidth="1"/>
  </cols>
  <sheetData>
    <row r="2" spans="1:6" ht="15">
      <c r="A2" s="38" t="s">
        <v>59</v>
      </c>
      <c r="B2" s="38"/>
      <c r="C2" s="38"/>
      <c r="D2" s="38"/>
      <c r="E2" s="38"/>
      <c r="F2" s="38"/>
    </row>
    <row r="3" spans="1:6" ht="15">
      <c r="A3" s="3" t="s">
        <v>60</v>
      </c>
      <c r="B3" s="3"/>
      <c r="C3" s="3"/>
      <c r="D3" s="3"/>
      <c r="E3" s="3"/>
      <c r="F3" s="3"/>
    </row>
    <row r="4" spans="1:6" ht="15">
      <c r="A4" s="3" t="s">
        <v>61</v>
      </c>
      <c r="B4" s="3"/>
      <c r="C4" s="3"/>
      <c r="D4" s="3"/>
      <c r="E4" s="3"/>
      <c r="F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Phillip Taylor</cp:lastModifiedBy>
  <cp:lastPrinted>2014-12-07T01:37:01Z</cp:lastPrinted>
  <dcterms:created xsi:type="dcterms:W3CDTF">2012-06-06T15:17:01Z</dcterms:created>
  <dcterms:modified xsi:type="dcterms:W3CDTF">2024-04-10T15:39:31Z</dcterms:modified>
  <cp:category/>
  <cp:version/>
  <cp:contentType/>
  <cp:contentStatus/>
</cp:coreProperties>
</file>