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35" windowWidth="15480" windowHeight="10980"/>
  </bookViews>
  <sheets>
    <sheet name="Balance Sheet - 27 Feb. 2013" sheetId="1" r:id="rId1"/>
  </sheets>
  <definedNames>
    <definedName name="_xlnm.Print_Area" localSheetId="0">'Balance Sheet - 27 Feb. 2013'!$A$10:$F$66</definedName>
    <definedName name="_xlnm.Print_Area">'Balance Sheet - 27 Feb. 2013'!$A$9:$F$62</definedName>
  </definedNames>
  <calcPr calcId="145621"/>
</workbook>
</file>

<file path=xl/calcChain.xml><?xml version="1.0" encoding="utf-8"?>
<calcChain xmlns="http://schemas.openxmlformats.org/spreadsheetml/2006/main">
  <c r="F26" i="1" l="1"/>
  <c r="F29" i="1"/>
  <c r="F50" i="1"/>
  <c r="B56" i="1" l="1"/>
  <c r="B59" i="1" s="1"/>
  <c r="B51" i="1"/>
  <c r="B49" i="1"/>
  <c r="B48" i="1"/>
  <c r="B47" i="1"/>
  <c r="B43" i="1"/>
  <c r="B42" i="1"/>
  <c r="B41" i="1"/>
  <c r="B40" i="1"/>
  <c r="B38" i="1"/>
  <c r="B32" i="1"/>
  <c r="B29" i="1"/>
  <c r="B27" i="1"/>
  <c r="B26" i="1"/>
  <c r="B20" i="1"/>
  <c r="B19" i="1"/>
  <c r="B22" i="1" s="1"/>
  <c r="B33" i="1" l="1"/>
  <c r="B52" i="1"/>
  <c r="B44" i="1"/>
  <c r="B60" i="1" s="1"/>
  <c r="B34" i="1"/>
  <c r="F51" i="1" l="1"/>
  <c r="F49" i="1"/>
  <c r="F48" i="1"/>
  <c r="F43" i="1"/>
  <c r="F42" i="1"/>
  <c r="F40" i="1"/>
  <c r="F38" i="1"/>
  <c r="F32" i="1"/>
  <c r="F20" i="1"/>
  <c r="F19" i="1"/>
  <c r="D56" i="1"/>
  <c r="D59" i="1" s="1"/>
  <c r="D51" i="1"/>
  <c r="D49" i="1"/>
  <c r="D48" i="1"/>
  <c r="D43" i="1"/>
  <c r="D42" i="1"/>
  <c r="D41" i="1"/>
  <c r="D40" i="1"/>
  <c r="D38" i="1"/>
  <c r="D32" i="1"/>
  <c r="D29" i="1"/>
  <c r="D27" i="1"/>
  <c r="D26" i="1"/>
  <c r="D20" i="1"/>
  <c r="D19" i="1"/>
  <c r="D22" i="1" l="1"/>
  <c r="D52" i="1"/>
  <c r="D44" i="1"/>
  <c r="D60" i="1" s="1"/>
  <c r="D33" i="1"/>
  <c r="D34" i="1" s="1"/>
  <c r="F41" i="1"/>
  <c r="F52" i="1" l="1"/>
  <c r="F27" i="1"/>
  <c r="F33" i="1" s="1"/>
  <c r="F56" i="1"/>
  <c r="F59" i="1"/>
  <c r="E68" i="1"/>
  <c r="F22" i="1"/>
  <c r="F44" i="1"/>
  <c r="D68" i="1"/>
  <c r="F34" i="1" l="1"/>
  <c r="F60" i="1"/>
  <c r="B68" i="1"/>
  <c r="F68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<sst xmlns="http://schemas.openxmlformats.org/spreadsheetml/2006/main" count="59" uniqueCount="55">
  <si>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</si>
  <si>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</si>
  <si>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</si>
  <si>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</si>
  <si>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</si>
  <si>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</si>
  <si>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</si>
  <si>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</si>
  <si>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</si>
  <si>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</si>
  <si>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</si>
  <si>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</si>
  <si>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</si>
  <si>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</si>
  <si>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</si>
  <si>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</si>
  <si>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</si>
  <si>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</si>
  <si>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</si>
  <si>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</si>
  <si>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</si>
  <si>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</si>
  <si>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</si>
  <si>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</si>
  <si>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</si>
  <si>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</si>
  <si>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</si>
  <si>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</si>
  <si>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</si>
  <si>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</si>
  <si>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</si>
  <si>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</si>
  <si>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</si>
  <si>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</si>
  <si>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</si>
  <si>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</si>
  <si>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</si>
  <si>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</si>
  <si>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</si>
  <si>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</si>
  <si>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</si>
  <si>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</si>
  <si>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</si>
  <si>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</si>
  <si>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</si>
  <si>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</si>
  <si>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</si>
  <si>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</si>
  <si>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</si>
  <si>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</si>
  <si>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22 FEBRUARY</t>
  </si>
  <si>
    <r>
      <t xml:space="preserve">* </t>
    </r>
    <r>
      <rPr>
        <sz val="12"/>
        <rFont val="Arial Unicode MS"/>
        <family val="2"/>
      </rPr>
      <t>The year to date loss of $16.66bn is included in</t>
    </r>
    <r>
      <rPr>
        <b/>
        <sz val="12"/>
        <rFont val="Arial Unicode MS"/>
        <family val="2"/>
      </rPr>
      <t xml:space="preserve"> Advances &amp; Other GOJ Receivables</t>
    </r>
    <r>
      <rPr>
        <sz val="12"/>
        <rFont val="Arial Unicode MS"/>
        <family val="2"/>
      </rPr>
      <t xml:space="preserve">. This reporting format is </t>
    </r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</si>
  <si>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and profits earned by the Bank are due to the Government.</t>
    </r>
  </si>
  <si>
    <t>News Release</t>
  </si>
  <si>
    <t>13 March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</si>
</sst>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showOutlineSymbols="0" zoomScale="75" zoomScaleNormal="75" zoomScaleSheetLayoutView="75" workbookViewId="0">
      <selection activeCell="A73" sqref="A73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8.25" customHeight="1">
      <c r="A5" s="3"/>
      <c r="B5" s="4"/>
      <c r="C5" s="4"/>
      <c r="D5" s="4"/>
      <c r="F5" s="4"/>
    </row>
    <row r="6" spans="1:6" ht="18.75">
      <c r="A6" s="63" t="s">
        <v>53</v>
      </c>
      <c r="B6" s="4"/>
      <c r="C6" s="4"/>
      <c r="D6" s="4"/>
      <c r="F6" s="4"/>
    </row>
    <row r="7" spans="1:6" ht="18.75">
      <c r="A7" s="64" t="s">
        <v>54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5"/>
      <c r="B9" s="6"/>
      <c r="C9" s="7"/>
      <c r="D9" s="6"/>
      <c r="E9" s="7"/>
      <c r="F9" s="6"/>
    </row>
    <row r="10" spans="1:6" s="11" customFormat="1" ht="20.25">
      <c r="A10" s="8" t="s">
        <v>0</v>
      </c>
      <c r="B10" s="9"/>
      <c r="C10" s="10"/>
      <c r="D10" s="9"/>
      <c r="E10" s="10"/>
      <c r="F10" s="9"/>
    </row>
    <row r="11" spans="1:6" s="11" customFormat="1" ht="20.25">
      <c r="A11" s="12" t="s">
        <v>1</v>
      </c>
      <c r="B11" s="13"/>
      <c r="C11" s="14"/>
      <c r="D11" s="13"/>
      <c r="E11" s="14"/>
      <c r="F11" s="13"/>
    </row>
    <row r="12" spans="1:6" s="11" customFormat="1" ht="20.25">
      <c r="A12" s="12" t="s">
        <v>48</v>
      </c>
      <c r="B12" s="13"/>
      <c r="C12" s="14"/>
      <c r="D12" s="13"/>
      <c r="E12" s="14"/>
      <c r="F12" s="13"/>
    </row>
    <row r="13" spans="1:6" s="11" customFormat="1">
      <c r="A13" s="15" t="s">
        <v>2</v>
      </c>
      <c r="B13" s="16"/>
      <c r="C13" s="16"/>
      <c r="D13" s="16"/>
      <c r="E13" s="16"/>
      <c r="F13" s="17"/>
    </row>
    <row r="14" spans="1:6" s="11" customFormat="1">
      <c r="A14" s="18"/>
      <c r="B14" s="50">
        <v>2012</v>
      </c>
      <c r="C14" s="19"/>
      <c r="D14" s="50">
        <v>2013</v>
      </c>
      <c r="E14" s="20"/>
      <c r="F14" s="50">
        <v>2013</v>
      </c>
    </row>
    <row r="15" spans="1:6" s="11" customFormat="1">
      <c r="A15" s="18"/>
      <c r="B15" s="51" t="s">
        <v>50</v>
      </c>
      <c r="C15" s="21"/>
      <c r="D15" s="51" t="s">
        <v>47</v>
      </c>
      <c r="E15" s="21"/>
      <c r="F15" s="51" t="s">
        <v>49</v>
      </c>
    </row>
    <row r="16" spans="1:6" s="11" customFormat="1">
      <c r="A16" s="18"/>
      <c r="B16" s="52" t="s">
        <v>3</v>
      </c>
      <c r="C16" s="21"/>
      <c r="D16" s="52" t="s">
        <v>3</v>
      </c>
      <c r="E16" s="21"/>
      <c r="F16" s="52" t="s">
        <v>3</v>
      </c>
    </row>
    <row r="17" spans="1:6" s="11" customFormat="1">
      <c r="A17" s="22" t="s">
        <v>4</v>
      </c>
      <c r="B17" s="53"/>
      <c r="C17" s="23"/>
      <c r="D17" s="53"/>
      <c r="E17" s="23"/>
      <c r="F17" s="53"/>
    </row>
    <row r="18" spans="1:6" s="11" customFormat="1">
      <c r="A18" s="24" t="s">
        <v>5</v>
      </c>
      <c r="B18" s="53"/>
      <c r="C18" s="23"/>
      <c r="D18" s="53"/>
      <c r="E18" s="23"/>
      <c r="F18" s="53"/>
    </row>
    <row r="19" spans="1:6" s="11" customFormat="1">
      <c r="A19" s="18" t="s">
        <v>6</v>
      </c>
      <c r="B19" s="54">
        <f>42889039-22589</f>
        <v>42866450</v>
      </c>
      <c r="C19" s="25"/>
      <c r="D19" s="54">
        <f>37111691-15004</f>
        <v>37096687</v>
      </c>
      <c r="E19" s="25"/>
      <c r="F19" s="54">
        <f>38401884-14587</f>
        <v>38387297</v>
      </c>
    </row>
    <row r="20" spans="1:6" s="11" customFormat="1">
      <c r="A20" s="18" t="s">
        <v>7</v>
      </c>
      <c r="B20" s="54">
        <f>55334+42379057+154053730+13507432+740-42889039+22589</f>
        <v>167129843</v>
      </c>
      <c r="C20" s="25"/>
      <c r="D20" s="54">
        <f>113682+16590064+119613061+14834411+692-37111691+15004</f>
        <v>114055223</v>
      </c>
      <c r="E20" s="25"/>
      <c r="F20" s="54">
        <f>113872+22856586+110223282+15105720+112766-38401884+14587</f>
        <v>110024929</v>
      </c>
    </row>
    <row r="21" spans="1:6" s="11" customFormat="1">
      <c r="A21" s="18" t="s">
        <v>40</v>
      </c>
      <c r="B21" s="54">
        <v>28291198</v>
      </c>
      <c r="C21" s="25"/>
      <c r="D21" s="54">
        <v>26755982</v>
      </c>
      <c r="E21" s="25"/>
      <c r="F21" s="54">
        <v>26755982</v>
      </c>
    </row>
    <row r="22" spans="1:6" s="11" customFormat="1">
      <c r="A22" s="24" t="s">
        <v>8</v>
      </c>
      <c r="B22" s="55">
        <f>+B19+B20+B21</f>
        <v>238287491</v>
      </c>
      <c r="C22" s="26"/>
      <c r="D22" s="55">
        <f>+D19+D20+D21</f>
        <v>177907892</v>
      </c>
      <c r="E22" s="26"/>
      <c r="F22" s="55">
        <f>+F19+F20+F21</f>
        <v>175168208</v>
      </c>
    </row>
    <row r="23" spans="1:6" s="11" customFormat="1">
      <c r="A23" s="18"/>
      <c r="B23" s="54"/>
      <c r="C23" s="25"/>
      <c r="D23" s="54"/>
      <c r="E23" s="25"/>
      <c r="F23" s="54"/>
    </row>
    <row r="24" spans="1:6" s="11" customFormat="1">
      <c r="A24" s="24" t="s">
        <v>9</v>
      </c>
      <c r="B24" s="54"/>
      <c r="C24" s="25"/>
      <c r="D24" s="54"/>
      <c r="E24" s="25"/>
      <c r="F24" s="54"/>
    </row>
    <row r="25" spans="1:6" s="11" customFormat="1">
      <c r="A25" s="18" t="s">
        <v>10</v>
      </c>
      <c r="B25" s="54" t="s">
        <v>11</v>
      </c>
      <c r="C25" s="25"/>
      <c r="D25" s="54" t="s">
        <v>11</v>
      </c>
      <c r="E25" s="25"/>
      <c r="F25" s="54" t="s">
        <v>11</v>
      </c>
    </row>
    <row r="26" spans="1:6" s="11" customFormat="1">
      <c r="A26" s="18" t="s">
        <v>42</v>
      </c>
      <c r="B26" s="54">
        <f>300+92820759</f>
        <v>92821059</v>
      </c>
      <c r="C26" s="25"/>
      <c r="D26" s="54">
        <f>2863+97165892</f>
        <v>97168755</v>
      </c>
      <c r="E26" s="25"/>
      <c r="F26" s="54">
        <f>2872+118634102-18966620</f>
        <v>99670354</v>
      </c>
    </row>
    <row r="27" spans="1:6" s="11" customFormat="1" hidden="1">
      <c r="A27" s="18" t="s">
        <v>12</v>
      </c>
      <c r="B27" s="54">
        <f>0</f>
        <v>0</v>
      </c>
      <c r="C27" s="25"/>
      <c r="D27" s="54">
        <f>0</f>
        <v>0</v>
      </c>
      <c r="E27" s="25"/>
      <c r="F27" s="54">
        <f>0</f>
        <v>0</v>
      </c>
    </row>
    <row r="28" spans="1:6" s="11" customFormat="1" hidden="1">
      <c r="A28" s="18" t="s">
        <v>13</v>
      </c>
      <c r="B28" s="54">
        <v>0</v>
      </c>
      <c r="C28" s="25"/>
      <c r="D28" s="54">
        <v>0</v>
      </c>
      <c r="E28" s="25"/>
      <c r="F28" s="54">
        <v>0</v>
      </c>
    </row>
    <row r="29" spans="1:6" s="11" customFormat="1">
      <c r="A29" s="18" t="s">
        <v>45</v>
      </c>
      <c r="B29" s="56">
        <f>16309584</f>
        <v>16309584</v>
      </c>
      <c r="C29" s="44"/>
      <c r="D29" s="56">
        <f>9651094</f>
        <v>9651094</v>
      </c>
      <c r="E29" s="25"/>
      <c r="F29" s="56">
        <f>9651094+16654944</f>
        <v>26306038</v>
      </c>
    </row>
    <row r="30" spans="1:6" s="11" customFormat="1" ht="17.25" hidden="1" customHeight="1">
      <c r="A30" s="18" t="s">
        <v>14</v>
      </c>
      <c r="B30" s="54">
        <v>0</v>
      </c>
      <c r="C30" s="27"/>
      <c r="D30" s="54">
        <v>0</v>
      </c>
      <c r="E30" s="28"/>
      <c r="F30" s="54">
        <v>0</v>
      </c>
    </row>
    <row r="31" spans="1:6" s="11" customFormat="1" hidden="1">
      <c r="A31" s="18" t="s">
        <v>15</v>
      </c>
      <c r="B31" s="54">
        <v>0</v>
      </c>
      <c r="C31" s="25"/>
      <c r="D31" s="54">
        <v>0</v>
      </c>
      <c r="E31" s="25"/>
      <c r="F31" s="54">
        <v>0</v>
      </c>
    </row>
    <row r="32" spans="1:6" s="11" customFormat="1">
      <c r="A32" s="18" t="s">
        <v>16</v>
      </c>
      <c r="B32" s="57">
        <f>114713+4315897+3512033-2516+4735279+10361177+21</f>
        <v>23036604</v>
      </c>
      <c r="C32" s="25"/>
      <c r="D32" s="57">
        <f>103802+4428859+3330130+1066+4637726+12621710-190</f>
        <v>25123103</v>
      </c>
      <c r="E32" s="25"/>
      <c r="F32" s="57">
        <f>95918+4428859+3305344+1106+2534832+13209182-8083</f>
        <v>23567158</v>
      </c>
    </row>
    <row r="33" spans="1:6" s="11" customFormat="1">
      <c r="A33" s="24" t="s">
        <v>17</v>
      </c>
      <c r="B33" s="58">
        <f>SUM(B26:B32)</f>
        <v>132167247</v>
      </c>
      <c r="C33" s="29"/>
      <c r="D33" s="58">
        <f>SUM(D26:D32)</f>
        <v>131942952</v>
      </c>
      <c r="E33" s="29"/>
      <c r="F33" s="58">
        <f>SUM(F26:F32)</f>
        <v>149543550</v>
      </c>
    </row>
    <row r="34" spans="1:6" s="11" customFormat="1" ht="18" thickBot="1">
      <c r="A34" s="22" t="s">
        <v>18</v>
      </c>
      <c r="B34" s="59">
        <f>+B33+B22</f>
        <v>370454738</v>
      </c>
      <c r="C34" s="29"/>
      <c r="D34" s="59">
        <f>+D33+D22</f>
        <v>309850844</v>
      </c>
      <c r="E34" s="29"/>
      <c r="F34" s="59">
        <f>+F33+F22</f>
        <v>324711758</v>
      </c>
    </row>
    <row r="35" spans="1:6" s="11" customFormat="1" ht="18" thickTop="1">
      <c r="A35" s="18"/>
      <c r="B35" s="54"/>
      <c r="C35" s="25"/>
      <c r="D35" s="54"/>
      <c r="E35" s="25"/>
      <c r="F35" s="54"/>
    </row>
    <row r="36" spans="1:6" s="11" customFormat="1">
      <c r="A36" s="22" t="s">
        <v>19</v>
      </c>
      <c r="B36" s="54"/>
      <c r="C36" s="25"/>
      <c r="D36" s="54"/>
      <c r="E36" s="25"/>
      <c r="F36" s="54"/>
    </row>
    <row r="37" spans="1:6" s="11" customFormat="1">
      <c r="A37" s="24" t="s">
        <v>20</v>
      </c>
      <c r="B37" s="60"/>
      <c r="C37" s="25"/>
      <c r="D37" s="60"/>
      <c r="E37" s="25"/>
      <c r="F37" s="60"/>
    </row>
    <row r="38" spans="1:6" s="11" customFormat="1">
      <c r="A38" s="18" t="s">
        <v>21</v>
      </c>
      <c r="B38" s="54">
        <f>50030730+2415924</f>
        <v>52446654</v>
      </c>
      <c r="C38" s="25"/>
      <c r="D38" s="54">
        <f>52437345+2621781</f>
        <v>55059126</v>
      </c>
      <c r="E38" s="25"/>
      <c r="F38" s="54">
        <f>53769489+2633104</f>
        <v>56402593</v>
      </c>
    </row>
    <row r="39" spans="1:6" s="11" customFormat="1">
      <c r="A39" s="18" t="s">
        <v>22</v>
      </c>
      <c r="B39" s="60"/>
      <c r="C39" s="25"/>
      <c r="D39" s="60"/>
      <c r="E39" s="25"/>
      <c r="F39" s="60"/>
    </row>
    <row r="40" spans="1:6" s="11" customFormat="1">
      <c r="A40" s="18" t="s">
        <v>23</v>
      </c>
      <c r="B40" s="54">
        <f>9273342+29261+1534265+31693181</f>
        <v>42530049</v>
      </c>
      <c r="C40" s="25"/>
      <c r="D40" s="54">
        <f>8494646+32457+195500+1597909</f>
        <v>10320512</v>
      </c>
      <c r="E40" s="25"/>
      <c r="F40" s="54">
        <f>4354481+32287+282754+673829</f>
        <v>5343351</v>
      </c>
    </row>
    <row r="41" spans="1:6" s="11" customFormat="1">
      <c r="A41" s="18" t="s">
        <v>24</v>
      </c>
      <c r="B41" s="54">
        <f>57448234+17774391+6929</f>
        <v>75229554</v>
      </c>
      <c r="C41" s="25"/>
      <c r="D41" s="54">
        <f>55994129+17324493+6754</f>
        <v>73325376</v>
      </c>
      <c r="E41" s="25"/>
      <c r="F41" s="54">
        <f>55994129+17324493+6754</f>
        <v>73325376</v>
      </c>
    </row>
    <row r="42" spans="1:6" s="11" customFormat="1">
      <c r="A42" s="18" t="s">
        <v>25</v>
      </c>
      <c r="B42" s="54">
        <f>52726190-5628000</f>
        <v>47098190</v>
      </c>
      <c r="C42" s="25"/>
      <c r="D42" s="54">
        <f>72836367-7708000</f>
        <v>65128367</v>
      </c>
      <c r="E42" s="25"/>
      <c r="F42" s="54">
        <f>80535544-20947000</f>
        <v>59588544</v>
      </c>
    </row>
    <row r="43" spans="1:6" s="11" customFormat="1">
      <c r="A43" s="18" t="s">
        <v>26</v>
      </c>
      <c r="B43" s="54">
        <f>203895216-29261-93930455-1534265-31693181-57448234-17774391-6929</f>
        <v>1478500</v>
      </c>
      <c r="C43" s="25"/>
      <c r="D43" s="54">
        <f>117776136-32457-40709771-195500-1597909-55994129-17324493-6754</f>
        <v>1915123</v>
      </c>
      <c r="E43" s="25"/>
      <c r="F43" s="54">
        <f>131334210-32287-50310503-282754-673829-55994129-17324493-6754</f>
        <v>6709461</v>
      </c>
    </row>
    <row r="44" spans="1:6" s="11" customFormat="1">
      <c r="A44" s="24" t="s">
        <v>27</v>
      </c>
      <c r="B44" s="58">
        <f>SUM(B38:B43)</f>
        <v>218782947</v>
      </c>
      <c r="C44" s="29"/>
      <c r="D44" s="58">
        <f>SUM(D38:D43)</f>
        <v>205748504</v>
      </c>
      <c r="E44" s="29"/>
      <c r="F44" s="58">
        <f>SUM(F38:F43)</f>
        <v>201369325</v>
      </c>
    </row>
    <row r="45" spans="1:6" s="11" customFormat="1">
      <c r="A45" s="30"/>
      <c r="B45" s="54"/>
      <c r="C45" s="25"/>
      <c r="D45" s="54"/>
      <c r="E45" s="25"/>
      <c r="F45" s="54"/>
    </row>
    <row r="46" spans="1:6" s="11" customFormat="1">
      <c r="A46" s="24" t="s">
        <v>28</v>
      </c>
      <c r="B46" s="54"/>
      <c r="C46" s="25"/>
      <c r="D46" s="54"/>
      <c r="E46" s="25"/>
      <c r="F46" s="54"/>
    </row>
    <row r="47" spans="1:6" s="11" customFormat="1">
      <c r="A47" s="18" t="s">
        <v>41</v>
      </c>
      <c r="B47" s="54">
        <f>36280382</f>
        <v>36280382</v>
      </c>
      <c r="C47" s="25"/>
      <c r="D47" s="54">
        <v>35362449</v>
      </c>
      <c r="E47" s="25"/>
      <c r="F47" s="54">
        <v>35362449</v>
      </c>
    </row>
    <row r="48" spans="1:6" s="11" customFormat="1">
      <c r="A48" s="18" t="s">
        <v>29</v>
      </c>
      <c r="B48" s="54">
        <f>9177+65193</f>
        <v>74370</v>
      </c>
      <c r="C48" s="25"/>
      <c r="D48" s="54">
        <f>60986-14531</f>
        <v>46455</v>
      </c>
      <c r="E48" s="25"/>
      <c r="F48" s="54">
        <f>133570+1221</f>
        <v>134791</v>
      </c>
    </row>
    <row r="49" spans="1:6" s="11" customFormat="1">
      <c r="A49" s="18" t="s">
        <v>30</v>
      </c>
      <c r="B49" s="54">
        <f>5628000+93930455</f>
        <v>99558455</v>
      </c>
      <c r="C49" s="25"/>
      <c r="D49" s="54">
        <f>7708000+40709771</f>
        <v>48417771</v>
      </c>
      <c r="E49" s="25"/>
      <c r="F49" s="54">
        <f>20947000+50310503</f>
        <v>71257503</v>
      </c>
    </row>
    <row r="50" spans="1:6" s="11" customFormat="1">
      <c r="A50" s="18" t="s">
        <v>46</v>
      </c>
      <c r="B50" s="56">
        <v>527755</v>
      </c>
      <c r="C50" s="25"/>
      <c r="D50" s="56">
        <v>1307348</v>
      </c>
      <c r="E50" s="25"/>
      <c r="F50" s="56">
        <f>2311676-18966620+16654944</f>
        <v>0</v>
      </c>
    </row>
    <row r="51" spans="1:6" s="11" customFormat="1">
      <c r="A51" s="18" t="s">
        <v>31</v>
      </c>
      <c r="B51" s="54">
        <f>486275+1998831-2</f>
        <v>2485104</v>
      </c>
      <c r="C51" s="25"/>
      <c r="D51" s="54">
        <f>212323+2068509+5569712</f>
        <v>7850544</v>
      </c>
      <c r="E51" s="29"/>
      <c r="F51" s="54">
        <f>202510+2037602+6557390+1</f>
        <v>8797503</v>
      </c>
    </row>
    <row r="52" spans="1:6" s="11" customFormat="1">
      <c r="A52" s="24" t="s">
        <v>32</v>
      </c>
      <c r="B52" s="58">
        <f>SUM(B47:B51)</f>
        <v>138926066</v>
      </c>
      <c r="C52" s="29"/>
      <c r="D52" s="58">
        <f>SUM(D47:D51)</f>
        <v>92984567</v>
      </c>
      <c r="E52" s="25"/>
      <c r="F52" s="58">
        <f>SUM(F47:F51)</f>
        <v>115552246</v>
      </c>
    </row>
    <row r="53" spans="1:6" s="11" customFormat="1">
      <c r="A53" s="18"/>
      <c r="B53" s="54"/>
      <c r="C53" s="25"/>
      <c r="D53" s="54"/>
      <c r="E53" s="25"/>
      <c r="F53" s="54"/>
    </row>
    <row r="54" spans="1:6" s="11" customFormat="1">
      <c r="A54" s="24" t="s">
        <v>33</v>
      </c>
      <c r="B54" s="54"/>
      <c r="C54" s="25"/>
      <c r="D54" s="54"/>
      <c r="E54" s="25"/>
      <c r="F54" s="54"/>
    </row>
    <row r="55" spans="1:6" s="11" customFormat="1">
      <c r="A55" s="18" t="s">
        <v>34</v>
      </c>
      <c r="B55" s="54"/>
      <c r="C55" s="25"/>
      <c r="D55" s="54"/>
      <c r="E55" s="25"/>
      <c r="F55" s="54"/>
    </row>
    <row r="56" spans="1:6" s="11" customFormat="1">
      <c r="A56" s="18" t="s">
        <v>35</v>
      </c>
      <c r="B56" s="54">
        <f>4000</f>
        <v>4000</v>
      </c>
      <c r="C56" s="25"/>
      <c r="D56" s="54">
        <f>4000</f>
        <v>4000</v>
      </c>
      <c r="E56" s="25"/>
      <c r="F56" s="54">
        <f>4000</f>
        <v>4000</v>
      </c>
    </row>
    <row r="57" spans="1:6" s="11" customFormat="1">
      <c r="A57" s="18" t="s">
        <v>36</v>
      </c>
      <c r="B57" s="54">
        <v>20000</v>
      </c>
      <c r="C57" s="25"/>
      <c r="D57" s="54">
        <v>20000</v>
      </c>
      <c r="E57" s="25"/>
      <c r="F57" s="54">
        <v>20000</v>
      </c>
    </row>
    <row r="58" spans="1:6" s="11" customFormat="1">
      <c r="A58" s="18" t="s">
        <v>37</v>
      </c>
      <c r="B58" s="57">
        <v>12721725</v>
      </c>
      <c r="C58" s="25"/>
      <c r="D58" s="57">
        <v>11093773</v>
      </c>
      <c r="E58" s="25"/>
      <c r="F58" s="57">
        <v>7766187</v>
      </c>
    </row>
    <row r="59" spans="1:6" s="11" customFormat="1">
      <c r="A59" s="24" t="s">
        <v>38</v>
      </c>
      <c r="B59" s="61">
        <f>SUM(B56:B58)</f>
        <v>12745725</v>
      </c>
      <c r="C59" s="29"/>
      <c r="D59" s="61">
        <f>SUM(D56:D58)</f>
        <v>11117773</v>
      </c>
      <c r="E59" s="29"/>
      <c r="F59" s="61">
        <f>SUM(F56:F58)</f>
        <v>7790187</v>
      </c>
    </row>
    <row r="60" spans="1:6" s="11" customFormat="1" ht="18" thickBot="1">
      <c r="A60" s="31" t="s">
        <v>39</v>
      </c>
      <c r="B60" s="62">
        <f>B44+B52+B59</f>
        <v>370454738</v>
      </c>
      <c r="C60" s="32"/>
      <c r="D60" s="62">
        <f>D44+D52+D59</f>
        <v>309850844</v>
      </c>
      <c r="E60" s="33"/>
      <c r="F60" s="62">
        <f>F44+F52+F59</f>
        <v>324711758</v>
      </c>
    </row>
    <row r="61" spans="1:6" s="11" customFormat="1" ht="18" thickTop="1">
      <c r="A61" s="18"/>
      <c r="B61" s="43"/>
      <c r="C61" s="23"/>
      <c r="D61" s="34"/>
      <c r="E61" s="34"/>
      <c r="F61" s="35"/>
    </row>
    <row r="62" spans="1:6" s="11" customFormat="1" ht="15" customHeight="1">
      <c r="A62" s="15"/>
      <c r="B62" s="16"/>
      <c r="C62" s="36"/>
      <c r="D62" s="16"/>
      <c r="E62" s="36"/>
      <c r="F62" s="17"/>
    </row>
    <row r="63" spans="1:6" s="11" customFormat="1" ht="19.5" customHeight="1">
      <c r="A63" s="46" t="s">
        <v>44</v>
      </c>
      <c r="B63" s="23"/>
      <c r="C63" s="47"/>
      <c r="D63" s="48"/>
      <c r="E63" s="48"/>
      <c r="F63" s="49"/>
    </row>
    <row r="64" spans="1:6" s="11" customFormat="1">
      <c r="A64" s="45" t="s">
        <v>51</v>
      </c>
      <c r="B64" s="37"/>
      <c r="C64" s="38"/>
      <c r="D64" s="39"/>
      <c r="E64" s="37"/>
      <c r="F64" s="39"/>
    </row>
    <row r="65" spans="1:8" s="11" customFormat="1">
      <c r="A65" s="18" t="s">
        <v>43</v>
      </c>
      <c r="B65" s="23"/>
      <c r="C65" s="23"/>
      <c r="D65" s="40"/>
      <c r="E65" s="23"/>
      <c r="F65" s="40"/>
      <c r="G65" s="23"/>
      <c r="H65" s="23"/>
    </row>
    <row r="66" spans="1:8" s="11" customFormat="1">
      <c r="A66" s="15" t="s">
        <v>52</v>
      </c>
      <c r="B66" s="41"/>
      <c r="C66" s="41"/>
      <c r="D66" s="41"/>
      <c r="E66" s="41"/>
      <c r="F66" s="42"/>
    </row>
    <row r="68" spans="1:8" hidden="1">
      <c r="B68">
        <f>B60-B34</f>
        <v>0</v>
      </c>
      <c r="D68">
        <f>D60-D34</f>
        <v>0</v>
      </c>
      <c r="E68" s="4">
        <f>E60-E34</f>
        <v>0</v>
      </c>
      <c r="F68">
        <f>F60-F34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- 27 Feb. 2013</vt:lpstr>
      <vt:lpstr>'Balance Sheet - 27 Feb. 2013'!Print_Area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2013-02-15T16:56:50Z</cp:lastPrinted>
  <dcterms:created xsi:type="dcterms:W3CDTF">2009-02-04T22:27:27Z</dcterms:created>
  <dcterms:modified xsi:type="dcterms:W3CDTF">2013-03-13T13:48:52Z</dcterms:modified>
</cp:coreProperties>
</file>