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35" windowWidth="15480" windowHeight="10080"/>
  </bookViews>
  <sheets>
    <sheet name="Balance Sheet - 13 Nov. 2013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'Balance Sheet - 13 Nov. 2013'!$A$8:$F$64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- 13 Nov. 2013'!$A$7:$F$60</definedName>
  </definedNames>
  <calcPr calcId="145621"/>
</workbook>
</file>

<file path=xl/calcChain.xml><?xml version="1.0" encoding="utf-8"?>
<calcChain xmlns="http://schemas.openxmlformats.org/spreadsheetml/2006/main">
  <c r="F27" i="1" l="1"/>
  <c r="F48" i="1"/>
  <c r="F18" i="1" l="1"/>
  <c r="F24" i="1"/>
  <c r="B54" i="1"/>
  <c r="B57" i="1" s="1"/>
  <c r="B49" i="1"/>
  <c r="B47" i="1"/>
  <c r="B46" i="1"/>
  <c r="B41" i="1"/>
  <c r="B40" i="1"/>
  <c r="B39" i="1"/>
  <c r="B38" i="1"/>
  <c r="B36" i="1"/>
  <c r="B30" i="1"/>
  <c r="B25" i="1"/>
  <c r="B18" i="1"/>
  <c r="B17" i="1"/>
  <c r="B20" i="1" s="1"/>
  <c r="B31" i="1" l="1"/>
  <c r="B50" i="1"/>
  <c r="B42" i="1"/>
  <c r="B58" i="1" s="1"/>
  <c r="B32" i="1"/>
  <c r="F30" i="1" l="1"/>
  <c r="F17" i="1"/>
  <c r="F36" i="1"/>
  <c r="F49" i="1"/>
  <c r="F47" i="1"/>
  <c r="F46" i="1"/>
  <c r="F41" i="1"/>
  <c r="F40" i="1"/>
  <c r="F38" i="1"/>
  <c r="D54" i="1" l="1"/>
  <c r="D57" i="1" s="1"/>
  <c r="D49" i="1"/>
  <c r="D48" i="1"/>
  <c r="D47" i="1"/>
  <c r="D46" i="1"/>
  <c r="D41" i="1"/>
  <c r="D40" i="1"/>
  <c r="D38" i="1"/>
  <c r="D36" i="1"/>
  <c r="D30" i="1"/>
  <c r="D27" i="1"/>
  <c r="D25" i="1"/>
  <c r="D24" i="1"/>
  <c r="D18" i="1"/>
  <c r="D17" i="1"/>
  <c r="D20" i="1" s="1"/>
  <c r="D31" i="1" l="1"/>
  <c r="D32" i="1" s="1"/>
  <c r="D42" i="1"/>
  <c r="D50" i="1"/>
  <c r="D58" i="1" l="1"/>
  <c r="E39" i="4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6" i="1"/>
  <c r="F54" i="1"/>
  <c r="F57" i="1" s="1"/>
  <c r="F42" i="1"/>
  <c r="F25" i="1"/>
  <c r="F20" i="1"/>
  <c r="D22" i="4" l="1"/>
  <c r="F31" i="1"/>
  <c r="F32" i="1" s="1"/>
  <c r="F50" i="1"/>
  <c r="F58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F63" i="2" s="1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6" i="1" l="1"/>
  <c r="B36" i="3"/>
  <c r="F36" i="2"/>
  <c r="G36" i="2" s="1"/>
  <c r="G24" i="2"/>
  <c r="D36" i="2"/>
  <c r="G54" i="2"/>
  <c r="E33" i="4"/>
  <c r="E41" i="4" s="1"/>
  <c r="F36" i="3"/>
  <c r="B36" i="2"/>
  <c r="G46" i="3"/>
  <c r="G24" i="3"/>
  <c r="D66" i="1"/>
  <c r="D33" i="4"/>
  <c r="D37" i="4" s="1"/>
  <c r="G35" i="3"/>
  <c r="B66" i="1"/>
  <c r="G54" i="3"/>
  <c r="C37" i="4"/>
  <c r="G46" i="2"/>
  <c r="B62" i="3"/>
  <c r="B70" i="3" s="1"/>
  <c r="F62" i="3"/>
  <c r="F70" i="3" s="1"/>
  <c r="B63" i="2"/>
  <c r="B71" i="2" s="1"/>
  <c r="D62" i="3"/>
  <c r="G62" i="3" s="1"/>
  <c r="D36" i="3"/>
  <c r="G35" i="2"/>
  <c r="D63" i="2"/>
  <c r="G63" i="2" s="1"/>
  <c r="D41" i="4" l="1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<sst xmlns="http://schemas.openxmlformats.org/spreadsheetml/2006/main" count="211" uniqueCount="94">
  <si>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</si>
  <si>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</si>
  <si>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</si>
  <si>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</si>
  <si>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</si>
  <si>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</si>
  <si>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</si>
  <si>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</si>
  <si>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</si>
  <si>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</si>
  <si>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</si>
  <si>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</si>
  <si>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</si>
  <si>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</si>
  <si>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</si>
  <si>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</si>
  <si>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</si>
  <si>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</si>
  <si>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</si>
  <si>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</si>
  <si>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</si>
  <si>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</si>
  <si>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</si>
  <si>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</si>
  <si>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</si>
  <si>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</si>
  <si>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</si>
  <si>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</si>
  <si>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</si>
  <si>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</si>
  <si>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</si>
  <si>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</si>
  <si>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</si>
  <si>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</si>
  <si>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</si>
  <si>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</si>
  <si>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</si>
  <si>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</si>
  <si>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</si>
  <si>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</si>
  <si>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</si>
  <si>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</si>
  <si>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</si>
  <si>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</si>
  <si>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</si>
  <si>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</si>
  <si>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</si>
  <si>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</si>
  <si>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</si>
  <si>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</si>
  <si>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</si>
  <si>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</si>
  <si>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</si>
  <si>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</si>
  <si>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</si>
  <si>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</si>
  <si>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</si>
  <si>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</si>
  <si>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</si>
  <si>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</si>
  <si>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</si>
  <si>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</si>
  <si>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</si>
  <si>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</si>
  <si>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</si>
  <si>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</si>
  <si>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</si>
  <si>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</si>
  <si>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</si>
  <si>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</si>
  <si>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</si>
  <si>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</si>
  <si>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</si>
  <si>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</si>
  <si>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</si>
  <si>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</si>
  <si>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</si>
  <si>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</si>
  <si>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</si>
  <si>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</si>
  <si>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</si>
  <si>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</si>
  <si>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</si>
  <si>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</si>
  <si>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</t>
    </r>
    <r>
      <rPr>
        <b/>
        <sz val="12"/>
        <rFont val="Arial Unicode MS"/>
        <family val="2"/>
      </rPr>
      <t>.</t>
    </r>
  </si>
  <si>
    <r>
      <t xml:space="preserve">   Amounts Due to Government of Jamaica</t>
    </r>
    <r>
      <rPr>
        <b/>
        <sz val="12"/>
        <rFont val="Arial Unicode MS"/>
        <family val="2"/>
      </rPr>
      <t xml:space="preserve"> </t>
    </r>
  </si>
  <si>
    <t xml:space="preserve">      Advances and Other GOJ Receivables *</t>
  </si>
  <si>
    <t>23 OCTOBER</t>
  </si>
  <si>
    <t>As At 13 NOVEMBER 2013</t>
  </si>
  <si>
    <t>13 NOVEMBER</t>
  </si>
  <si>
    <t>14 NOVEMBER</t>
  </si>
  <si>
    <r>
      <t xml:space="preserve">* </t>
    </r>
    <r>
      <rPr>
        <sz val="12"/>
        <rFont val="Arial Unicode MS"/>
        <family val="2"/>
      </rPr>
      <t>The year to date loss of $15.21bn is included in</t>
    </r>
    <r>
      <rPr>
        <b/>
        <sz val="12"/>
        <rFont val="Arial Unicode MS"/>
        <family val="2"/>
      </rPr>
      <t xml:space="preserve"> Advance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</si>
  <si>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</si>
  <si>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27 November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</si>
</sst>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4"/>
      <color indexed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37" fontId="0" fillId="2" borderId="0"/>
  </cellStyleXfs>
  <cellXfs count="148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0" borderId="4" xfId="0" applyNumberFormat="1" applyFont="1" applyFill="1" applyBorder="1" applyAlignment="1">
      <alignment horizontal="centerContinuous"/>
    </xf>
    <xf numFmtId="37" fontId="22" fillId="2" borderId="0" xfId="0" applyNumberFormat="1" applyFont="1" applyFill="1" applyBorder="1"/>
    <xf numFmtId="49" fontId="22" fillId="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showOutlineSymbols="0" topLeftCell="A19" zoomScale="75" zoomScaleNormal="75" zoomScaleSheetLayoutView="75" workbookViewId="0">
      <selection activeCell="A71" sqref="A71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4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18.75">
      <c r="A5" s="144" t="s">
        <v>92</v>
      </c>
      <c r="B5" s="4"/>
      <c r="C5" s="4"/>
      <c r="D5" s="4"/>
      <c r="F5" s="4"/>
    </row>
    <row r="6" spans="1:6" ht="18.75">
      <c r="A6" s="145" t="s">
        <v>93</v>
      </c>
      <c r="B6" s="4"/>
      <c r="C6" s="4"/>
      <c r="D6" s="4"/>
      <c r="F6" s="4"/>
    </row>
    <row r="7" spans="1:6">
      <c r="A7" s="8"/>
      <c r="B7" s="9"/>
      <c r="C7" s="10"/>
      <c r="D7" s="9"/>
      <c r="E7" s="10"/>
      <c r="F7" s="9"/>
    </row>
    <row r="8" spans="1:6" s="14" customFormat="1" ht="20.25">
      <c r="A8" s="11" t="s">
        <v>1</v>
      </c>
      <c r="B8" s="12"/>
      <c r="C8" s="13"/>
      <c r="D8" s="12"/>
      <c r="E8" s="13"/>
      <c r="F8" s="12"/>
    </row>
    <row r="9" spans="1:6" s="14" customFormat="1" ht="20.25">
      <c r="A9" s="15" t="s">
        <v>2</v>
      </c>
      <c r="B9" s="16"/>
      <c r="C9" s="17"/>
      <c r="D9" s="16"/>
      <c r="E9" s="17"/>
      <c r="F9" s="16"/>
    </row>
    <row r="10" spans="1:6" s="14" customFormat="1" ht="20.25">
      <c r="A10" s="143" t="s">
        <v>88</v>
      </c>
      <c r="B10" s="16"/>
      <c r="C10" s="17"/>
      <c r="D10" s="16"/>
      <c r="E10" s="17"/>
      <c r="F10" s="16"/>
    </row>
    <row r="11" spans="1:6" s="14" customFormat="1">
      <c r="A11" s="18" t="s">
        <v>3</v>
      </c>
      <c r="B11" s="19"/>
      <c r="C11" s="19"/>
      <c r="D11" s="19"/>
      <c r="E11" s="19"/>
      <c r="F11" s="20"/>
    </row>
    <row r="12" spans="1:6" s="14" customFormat="1">
      <c r="A12" s="21"/>
      <c r="B12" s="66">
        <v>2012</v>
      </c>
      <c r="C12" s="22"/>
      <c r="D12" s="66">
        <v>2013</v>
      </c>
      <c r="E12" s="23"/>
      <c r="F12" s="66">
        <v>2013</v>
      </c>
    </row>
    <row r="13" spans="1:6" s="14" customFormat="1">
      <c r="A13" s="21"/>
      <c r="B13" s="67" t="s">
        <v>90</v>
      </c>
      <c r="C13" s="24"/>
      <c r="D13" s="67" t="s">
        <v>87</v>
      </c>
      <c r="E13" s="24"/>
      <c r="F13" s="67" t="s">
        <v>89</v>
      </c>
    </row>
    <row r="14" spans="1:6" s="14" customFormat="1">
      <c r="A14" s="21"/>
      <c r="B14" s="68" t="s">
        <v>5</v>
      </c>
      <c r="C14" s="24"/>
      <c r="D14" s="68" t="s">
        <v>5</v>
      </c>
      <c r="E14" s="24"/>
      <c r="F14" s="68" t="s">
        <v>5</v>
      </c>
    </row>
    <row r="15" spans="1:6" s="14" customFormat="1">
      <c r="A15" s="25" t="s">
        <v>6</v>
      </c>
      <c r="B15" s="69"/>
      <c r="C15" s="26"/>
      <c r="D15" s="69"/>
      <c r="E15" s="26"/>
      <c r="F15" s="69"/>
    </row>
    <row r="16" spans="1:6" s="14" customFormat="1">
      <c r="A16" s="27" t="s">
        <v>7</v>
      </c>
      <c r="B16" s="69"/>
      <c r="C16" s="26"/>
      <c r="D16" s="69"/>
      <c r="E16" s="26"/>
      <c r="F16" s="69"/>
    </row>
    <row r="17" spans="1:6" s="14" customFormat="1">
      <c r="A17" s="21" t="s">
        <v>8</v>
      </c>
      <c r="B17" s="70">
        <f>35955726-18658</f>
        <v>35937068</v>
      </c>
      <c r="C17" s="28"/>
      <c r="D17" s="70">
        <f>41069005-27345</f>
        <v>41041660</v>
      </c>
      <c r="E17" s="28"/>
      <c r="F17" s="70">
        <f>40761806-27491</f>
        <v>40734315</v>
      </c>
    </row>
    <row r="18" spans="1:6" s="14" customFormat="1">
      <c r="A18" s="21" t="s">
        <v>9</v>
      </c>
      <c r="B18" s="70">
        <f>110071+26839326+112597860+14292393+682-35955726+18658</f>
        <v>117903264</v>
      </c>
      <c r="C18" s="28"/>
      <c r="D18" s="70">
        <f>117572+21838320+107172501+16529997+842-41069005+27345</f>
        <v>104617572</v>
      </c>
      <c r="E18" s="28"/>
      <c r="F18" s="70">
        <f>120180+27934438+98836443+16608788+37047-40761806+27491</f>
        <v>102802581</v>
      </c>
    </row>
    <row r="19" spans="1:6" s="14" customFormat="1">
      <c r="A19" s="21" t="s">
        <v>42</v>
      </c>
      <c r="B19" s="70">
        <v>26955767</v>
      </c>
      <c r="C19" s="28"/>
      <c r="D19" s="70">
        <v>31379214</v>
      </c>
      <c r="E19" s="28"/>
      <c r="F19" s="70">
        <v>30915855</v>
      </c>
    </row>
    <row r="20" spans="1:6" s="14" customFormat="1">
      <c r="A20" s="27" t="s">
        <v>10</v>
      </c>
      <c r="B20" s="71">
        <f>+B17+B18+B19</f>
        <v>180796099</v>
      </c>
      <c r="C20" s="29"/>
      <c r="D20" s="71">
        <f>+D17+D18+D19</f>
        <v>177038446</v>
      </c>
      <c r="E20" s="29"/>
      <c r="F20" s="71">
        <f>+F17+F18+F19</f>
        <v>174452751</v>
      </c>
    </row>
    <row r="21" spans="1:6" s="14" customFormat="1">
      <c r="A21" s="21"/>
      <c r="B21" s="70"/>
      <c r="C21" s="28"/>
      <c r="D21" s="70"/>
      <c r="E21" s="28"/>
      <c r="F21" s="70"/>
    </row>
    <row r="22" spans="1:6" s="14" customFormat="1">
      <c r="A22" s="27" t="s">
        <v>11</v>
      </c>
      <c r="B22" s="70"/>
      <c r="C22" s="28"/>
      <c r="D22" s="70"/>
      <c r="E22" s="28"/>
      <c r="F22" s="70"/>
    </row>
    <row r="23" spans="1:6" s="14" customFormat="1">
      <c r="A23" s="21" t="s">
        <v>12</v>
      </c>
      <c r="B23" s="70" t="s">
        <v>13</v>
      </c>
      <c r="C23" s="28"/>
      <c r="D23" s="70" t="s">
        <v>13</v>
      </c>
      <c r="E23" s="28"/>
      <c r="F23" s="70" t="s">
        <v>13</v>
      </c>
    </row>
    <row r="24" spans="1:6" s="14" customFormat="1">
      <c r="A24" s="21" t="s">
        <v>44</v>
      </c>
      <c r="B24" s="70">
        <v>93255145</v>
      </c>
      <c r="C24" s="28"/>
      <c r="D24" s="70">
        <f>4615+100238940</f>
        <v>100243555</v>
      </c>
      <c r="E24" s="28"/>
      <c r="F24" s="70">
        <f>5615+100238940</f>
        <v>100244555</v>
      </c>
    </row>
    <row r="25" spans="1:6" s="14" customFormat="1" hidden="1">
      <c r="A25" s="21" t="s">
        <v>14</v>
      </c>
      <c r="B25" s="70">
        <f>0</f>
        <v>0</v>
      </c>
      <c r="C25" s="28"/>
      <c r="D25" s="70">
        <f>0</f>
        <v>0</v>
      </c>
      <c r="E25" s="28"/>
      <c r="F25" s="70">
        <f>0</f>
        <v>0</v>
      </c>
    </row>
    <row r="26" spans="1:6" s="14" customFormat="1" hidden="1">
      <c r="A26" s="21" t="s">
        <v>15</v>
      </c>
      <c r="B26" s="70">
        <v>0</v>
      </c>
      <c r="C26" s="28"/>
      <c r="D26" s="70">
        <v>0</v>
      </c>
      <c r="E26" s="28"/>
      <c r="F26" s="70">
        <v>0</v>
      </c>
    </row>
    <row r="27" spans="1:6" s="14" customFormat="1">
      <c r="A27" s="21" t="s">
        <v>86</v>
      </c>
      <c r="B27" s="72">
        <v>13369335</v>
      </c>
      <c r="C27" s="47"/>
      <c r="D27" s="72">
        <f>9739470+16347836</f>
        <v>26087306</v>
      </c>
      <c r="E27" s="28"/>
      <c r="F27" s="72">
        <f>9765362+15209811</f>
        <v>24975173</v>
      </c>
    </row>
    <row r="28" spans="1:6" s="14" customFormat="1" ht="17.25" customHeight="1">
      <c r="A28" s="21" t="s">
        <v>16</v>
      </c>
      <c r="B28" s="70">
        <v>0</v>
      </c>
      <c r="C28" s="30"/>
      <c r="D28" s="70">
        <v>2800000</v>
      </c>
      <c r="E28" s="31"/>
      <c r="F28" s="70">
        <v>5793000</v>
      </c>
    </row>
    <row r="29" spans="1:6" s="14" customFormat="1" hidden="1">
      <c r="A29" s="21" t="s">
        <v>17</v>
      </c>
      <c r="B29" s="70">
        <v>2</v>
      </c>
      <c r="C29" s="28"/>
      <c r="D29" s="70">
        <v>0</v>
      </c>
      <c r="E29" s="28"/>
      <c r="F29" s="70">
        <v>0</v>
      </c>
    </row>
    <row r="30" spans="1:6" s="14" customFormat="1">
      <c r="A30" s="21" t="s">
        <v>18</v>
      </c>
      <c r="B30" s="73">
        <f>120212+4315897+3301580+1521+4083026+12376123</f>
        <v>24198359</v>
      </c>
      <c r="C30" s="28"/>
      <c r="D30" s="73">
        <f>116831+4206706+3213746-25774+1128+4419299+17113800-2800000</f>
        <v>26245736</v>
      </c>
      <c r="E30" s="28"/>
      <c r="F30" s="73">
        <f>120092+4206706+3196213-16919+1151+4985763+20099935-5793000</f>
        <v>26799941</v>
      </c>
    </row>
    <row r="31" spans="1:6" s="14" customFormat="1">
      <c r="A31" s="27" t="s">
        <v>19</v>
      </c>
      <c r="B31" s="74">
        <f>SUM(B24:B30)</f>
        <v>130822841</v>
      </c>
      <c r="C31" s="32"/>
      <c r="D31" s="74">
        <f>SUM(D24:D30)</f>
        <v>155376597</v>
      </c>
      <c r="E31" s="32"/>
      <c r="F31" s="74">
        <f>SUM(F24:F30)</f>
        <v>157812669</v>
      </c>
    </row>
    <row r="32" spans="1:6" s="14" customFormat="1" ht="18" thickBot="1">
      <c r="A32" s="25" t="s">
        <v>20</v>
      </c>
      <c r="B32" s="75">
        <f>+B31+B20</f>
        <v>311618940</v>
      </c>
      <c r="C32" s="32"/>
      <c r="D32" s="75">
        <f>+D31+D20</f>
        <v>332415043</v>
      </c>
      <c r="E32" s="32"/>
      <c r="F32" s="75">
        <f>+F31+F20</f>
        <v>332265420</v>
      </c>
    </row>
    <row r="33" spans="1:6" s="14" customFormat="1" ht="18" thickTop="1">
      <c r="A33" s="21"/>
      <c r="B33" s="70"/>
      <c r="C33" s="28"/>
      <c r="D33" s="70"/>
      <c r="E33" s="28"/>
      <c r="F33" s="70"/>
    </row>
    <row r="34" spans="1:6" s="14" customFormat="1">
      <c r="A34" s="25" t="s">
        <v>21</v>
      </c>
      <c r="B34" s="70"/>
      <c r="C34" s="28"/>
      <c r="D34" s="70"/>
      <c r="E34" s="28"/>
      <c r="F34" s="70"/>
    </row>
    <row r="35" spans="1:6" s="14" customFormat="1">
      <c r="A35" s="27" t="s">
        <v>22</v>
      </c>
      <c r="B35" s="76"/>
      <c r="C35" s="28"/>
      <c r="D35" s="76"/>
      <c r="E35" s="28"/>
      <c r="F35" s="76"/>
    </row>
    <row r="36" spans="1:6" s="14" customFormat="1">
      <c r="A36" s="21" t="s">
        <v>23</v>
      </c>
      <c r="B36" s="70">
        <f>50494686+2577183</f>
        <v>53071869</v>
      </c>
      <c r="C36" s="28"/>
      <c r="D36" s="70">
        <f>54756252+2775098</f>
        <v>57531350</v>
      </c>
      <c r="E36" s="28"/>
      <c r="F36" s="70">
        <f>54079610+2788785</f>
        <v>56868395</v>
      </c>
    </row>
    <row r="37" spans="1:6" s="14" customFormat="1">
      <c r="A37" s="21" t="s">
        <v>24</v>
      </c>
      <c r="B37" s="76"/>
      <c r="C37" s="28"/>
      <c r="D37" s="76"/>
      <c r="E37" s="28"/>
      <c r="F37" s="76"/>
    </row>
    <row r="38" spans="1:6" s="14" customFormat="1">
      <c r="A38" s="21" t="s">
        <v>25</v>
      </c>
      <c r="B38" s="70">
        <f>8282455+29547+1075206+2064530</f>
        <v>11451738</v>
      </c>
      <c r="C38" s="28"/>
      <c r="D38" s="70">
        <f>1055857+1680943+6478630+36818</f>
        <v>9252248</v>
      </c>
      <c r="E38" s="28"/>
      <c r="F38" s="70">
        <f>1058076+5027858+11997524+36000</f>
        <v>18119458</v>
      </c>
    </row>
    <row r="39" spans="1:6" s="14" customFormat="1">
      <c r="A39" s="21" t="s">
        <v>26</v>
      </c>
      <c r="B39" s="70">
        <f>55994129+17324493+6754</f>
        <v>73325376</v>
      </c>
      <c r="C39" s="28"/>
      <c r="D39" s="70">
        <v>79179355</v>
      </c>
      <c r="E39" s="28"/>
      <c r="F39" s="70">
        <v>71438416</v>
      </c>
    </row>
    <row r="40" spans="1:6" s="14" customFormat="1">
      <c r="A40" s="21" t="s">
        <v>27</v>
      </c>
      <c r="B40" s="70">
        <f>66506713-17207000-187</f>
        <v>49299526</v>
      </c>
      <c r="C40" s="28"/>
      <c r="D40" s="70">
        <f>71900770-7499000</f>
        <v>64401770</v>
      </c>
      <c r="E40" s="28"/>
      <c r="F40" s="70">
        <f>65841938-1076000</f>
        <v>64765938</v>
      </c>
    </row>
    <row r="41" spans="1:6" s="14" customFormat="1">
      <c r="A41" s="21" t="s">
        <v>28</v>
      </c>
      <c r="B41" s="70">
        <f>128139095-29547-50047251-1075206-2064530-55994129-17324493-6754</f>
        <v>1597185</v>
      </c>
      <c r="C41" s="28"/>
      <c r="D41" s="70">
        <f>46875687-36818-24850152-16588365-1055857-1680943</f>
        <v>2663552</v>
      </c>
      <c r="E41" s="28"/>
      <c r="F41" s="70">
        <f>49747973-36000-23351419-17694000-5027858-1058076</f>
        <v>2580620</v>
      </c>
    </row>
    <row r="42" spans="1:6" s="14" customFormat="1">
      <c r="A42" s="27" t="s">
        <v>29</v>
      </c>
      <c r="B42" s="74">
        <f>SUM(B36:B41)</f>
        <v>188745694</v>
      </c>
      <c r="C42" s="32"/>
      <c r="D42" s="74">
        <f>SUM(D36:D41)</f>
        <v>213028275</v>
      </c>
      <c r="E42" s="32"/>
      <c r="F42" s="74">
        <f>SUM(F36:F41)</f>
        <v>213772827</v>
      </c>
    </row>
    <row r="43" spans="1:6" s="14" customFormat="1">
      <c r="A43" s="33"/>
      <c r="B43" s="70"/>
      <c r="C43" s="28"/>
      <c r="D43" s="70"/>
      <c r="E43" s="28"/>
      <c r="F43" s="70"/>
    </row>
    <row r="44" spans="1:6" s="14" customFormat="1">
      <c r="A44" s="27" t="s">
        <v>30</v>
      </c>
      <c r="B44" s="70"/>
      <c r="C44" s="28"/>
      <c r="D44" s="70"/>
      <c r="E44" s="28"/>
      <c r="F44" s="70"/>
    </row>
    <row r="45" spans="1:6" s="14" customFormat="1">
      <c r="A45" s="21" t="s">
        <v>43</v>
      </c>
      <c r="B45" s="70">
        <v>35362449</v>
      </c>
      <c r="C45" s="28"/>
      <c r="D45" s="70">
        <v>42335721</v>
      </c>
      <c r="E45" s="28"/>
      <c r="F45" s="70">
        <v>42055362</v>
      </c>
    </row>
    <row r="46" spans="1:6" s="14" customFormat="1">
      <c r="A46" s="21" t="s">
        <v>31</v>
      </c>
      <c r="B46" s="70">
        <f>4737+10463</f>
        <v>15200</v>
      </c>
      <c r="C46" s="28"/>
      <c r="D46" s="70">
        <f>232254+13896</f>
        <v>246150</v>
      </c>
      <c r="E46" s="28"/>
      <c r="F46" s="70">
        <f>71812+3642</f>
        <v>75454</v>
      </c>
    </row>
    <row r="47" spans="1:6" s="14" customFormat="1">
      <c r="A47" s="21" t="s">
        <v>32</v>
      </c>
      <c r="B47" s="70">
        <f>17207000+187+50047251</f>
        <v>67254438</v>
      </c>
      <c r="C47" s="28"/>
      <c r="D47" s="70">
        <f>7499000+24850152+16588365+11453383</f>
        <v>60390900</v>
      </c>
      <c r="E47" s="28"/>
      <c r="F47" s="70">
        <f>1076000+23351419+17694000+19082151</f>
        <v>61203570</v>
      </c>
    </row>
    <row r="48" spans="1:6" s="14" customFormat="1">
      <c r="A48" s="21" t="s">
        <v>85</v>
      </c>
      <c r="B48" s="72">
        <v>3077399</v>
      </c>
      <c r="C48" s="28"/>
      <c r="D48" s="72">
        <f>-16347836+16347836</f>
        <v>0</v>
      </c>
      <c r="E48" s="28"/>
      <c r="F48" s="72">
        <f>-15209811+15209811</f>
        <v>0</v>
      </c>
    </row>
    <row r="49" spans="1:8" s="14" customFormat="1">
      <c r="A49" s="21" t="s">
        <v>33</v>
      </c>
      <c r="B49" s="70">
        <f>176306+1988646+2557226-1</f>
        <v>4722177</v>
      </c>
      <c r="C49" s="28"/>
      <c r="D49" s="70">
        <f>6420873+455546+2024509</f>
        <v>8900928</v>
      </c>
      <c r="E49" s="32"/>
      <c r="F49" s="70">
        <f>5166451+490619+1988068</f>
        <v>7645138</v>
      </c>
    </row>
    <row r="50" spans="1:8" s="14" customFormat="1">
      <c r="A50" s="27" t="s">
        <v>34</v>
      </c>
      <c r="B50" s="74">
        <f>SUM(B45:B49)</f>
        <v>110431663</v>
      </c>
      <c r="C50" s="32"/>
      <c r="D50" s="74">
        <f>SUM(D45:D49)</f>
        <v>111873699</v>
      </c>
      <c r="E50" s="28"/>
      <c r="F50" s="74">
        <f>SUM(F45:F49)</f>
        <v>110979524</v>
      </c>
    </row>
    <row r="51" spans="1:8" s="14" customFormat="1">
      <c r="A51" s="21"/>
      <c r="B51" s="70"/>
      <c r="C51" s="28"/>
      <c r="D51" s="70"/>
      <c r="E51" s="28"/>
      <c r="F51" s="70"/>
    </row>
    <row r="52" spans="1:8" s="14" customFormat="1">
      <c r="A52" s="27" t="s">
        <v>35</v>
      </c>
      <c r="B52" s="70"/>
      <c r="C52" s="28"/>
      <c r="D52" s="70"/>
      <c r="E52" s="28"/>
      <c r="F52" s="70"/>
    </row>
    <row r="53" spans="1:8" s="14" customFormat="1">
      <c r="A53" s="21" t="s">
        <v>36</v>
      </c>
      <c r="B53" s="70"/>
      <c r="C53" s="28"/>
      <c r="D53" s="70"/>
      <c r="E53" s="28"/>
      <c r="F53" s="70"/>
    </row>
    <row r="54" spans="1:8" s="14" customFormat="1">
      <c r="A54" s="21" t="s">
        <v>37</v>
      </c>
      <c r="B54" s="70">
        <f>4000</f>
        <v>4000</v>
      </c>
      <c r="C54" s="28"/>
      <c r="D54" s="70">
        <f>4000</f>
        <v>4000</v>
      </c>
      <c r="E54" s="28"/>
      <c r="F54" s="70">
        <f>4000</f>
        <v>4000</v>
      </c>
    </row>
    <row r="55" spans="1:8" s="14" customFormat="1">
      <c r="A55" s="21" t="s">
        <v>38</v>
      </c>
      <c r="B55" s="70">
        <v>20000</v>
      </c>
      <c r="C55" s="28"/>
      <c r="D55" s="70">
        <v>20000</v>
      </c>
      <c r="E55" s="28"/>
      <c r="F55" s="70">
        <v>20000</v>
      </c>
    </row>
    <row r="56" spans="1:8" s="14" customFormat="1">
      <c r="A56" s="21" t="s">
        <v>39</v>
      </c>
      <c r="B56" s="73">
        <v>12417583</v>
      </c>
      <c r="C56" s="28"/>
      <c r="D56" s="73">
        <v>7489069</v>
      </c>
      <c r="E56" s="28"/>
      <c r="F56" s="73">
        <v>7489069</v>
      </c>
    </row>
    <row r="57" spans="1:8" s="14" customFormat="1">
      <c r="A57" s="27" t="s">
        <v>40</v>
      </c>
      <c r="B57" s="77">
        <f>SUM(B54:B56)</f>
        <v>12441583</v>
      </c>
      <c r="C57" s="32"/>
      <c r="D57" s="77">
        <f>SUM(D54:D56)</f>
        <v>7513069</v>
      </c>
      <c r="E57" s="32"/>
      <c r="F57" s="77">
        <f>SUM(F54:F56)</f>
        <v>7513069</v>
      </c>
    </row>
    <row r="58" spans="1:8" s="14" customFormat="1" ht="18" thickBot="1">
      <c r="A58" s="34" t="s">
        <v>41</v>
      </c>
      <c r="B58" s="78">
        <f>B42+B50+B57</f>
        <v>311618940</v>
      </c>
      <c r="C58" s="35"/>
      <c r="D58" s="78">
        <f>D42+D50+D57</f>
        <v>332415043</v>
      </c>
      <c r="E58" s="36"/>
      <c r="F58" s="78">
        <f>F42+F50+F57</f>
        <v>332265420</v>
      </c>
    </row>
    <row r="59" spans="1:8" s="14" customFormat="1" ht="18" thickTop="1">
      <c r="A59" s="21"/>
      <c r="B59" s="46"/>
      <c r="C59" s="26"/>
      <c r="D59" s="37"/>
      <c r="E59" s="37"/>
      <c r="F59" s="38"/>
    </row>
    <row r="60" spans="1:8" s="14" customFormat="1" ht="15" customHeight="1">
      <c r="A60" s="18"/>
      <c r="B60" s="19"/>
      <c r="C60" s="39"/>
      <c r="D60" s="19"/>
      <c r="E60" s="39"/>
      <c r="F60" s="20"/>
    </row>
    <row r="61" spans="1:8" s="14" customFormat="1" ht="19.5" customHeight="1">
      <c r="A61" s="49" t="s">
        <v>46</v>
      </c>
      <c r="B61" s="26"/>
      <c r="C61" s="50"/>
      <c r="D61" s="51"/>
      <c r="E61" s="51"/>
      <c r="F61" s="52"/>
    </row>
    <row r="62" spans="1:8" s="14" customFormat="1">
      <c r="A62" s="48" t="s">
        <v>91</v>
      </c>
      <c r="B62" s="40"/>
      <c r="C62" s="41"/>
      <c r="D62" s="42"/>
      <c r="E62" s="40"/>
      <c r="F62" s="42"/>
    </row>
    <row r="63" spans="1:8" s="14" customFormat="1">
      <c r="A63" s="21" t="s">
        <v>45</v>
      </c>
      <c r="B63" s="26"/>
      <c r="C63" s="26"/>
      <c r="D63" s="43"/>
      <c r="E63" s="26"/>
      <c r="F63" s="43"/>
      <c r="G63" s="26"/>
      <c r="H63" s="26"/>
    </row>
    <row r="64" spans="1:8" s="14" customFormat="1">
      <c r="A64" s="18" t="s">
        <v>84</v>
      </c>
      <c r="B64" s="44"/>
      <c r="C64" s="44"/>
      <c r="D64" s="44"/>
      <c r="E64" s="44"/>
      <c r="F64" s="45"/>
    </row>
    <row r="66" spans="2:6" hidden="1">
      <c r="B66">
        <f>B58-B32</f>
        <v>0</v>
      </c>
      <c r="D66">
        <f>D58-D32</f>
        <v>0</v>
      </c>
      <c r="E66" s="4">
        <f>E58-E32</f>
        <v>0</v>
      </c>
      <c r="F66">
        <f>F58-F32</f>
        <v>0</v>
      </c>
    </row>
  </sheetData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46" t="s">
        <v>57</v>
      </c>
      <c r="B2" s="146"/>
      <c r="C2" s="146"/>
      <c r="D2" s="146"/>
      <c r="E2" s="147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 - 13 Nov. 2013</vt:lpstr>
      <vt:lpstr>DEFERRED FRAN NOTES CHRG TO RES</vt:lpstr>
      <vt:lpstr>DEFERRED FRAN NOTES CHRG TO P&amp;L</vt:lpstr>
      <vt:lpstr>P&amp;L-DEFERRED FRAN NOTES CHRG </vt:lpstr>
      <vt:lpstr>'Balance Sheet - 13 Nov. 2013'!Print_Area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2013-11-21T14:47:18Z</cp:lastPrinted>
  <dcterms:created xsi:type="dcterms:W3CDTF">2009-02-04T22:27:27Z</dcterms:created>
  <dcterms:modified xsi:type="dcterms:W3CDTF">2013-11-27T15:23:55Z</dcterms:modified>
</cp:coreProperties>
</file>