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95" windowWidth="15480" windowHeight="10320"/>
  </bookViews>
  <sheets>
    <sheet name="Balance Sheet - 11 Sept.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- 11 Sept. 2013'!$A$8:$F$64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- 11 Sept. 2013'!$A$7:$F$60</definedName>
  </definedNames>
  <calcPr calcId="145621"/>
</workbook>
</file>

<file path=xl/calcChain.xml><?xml version="1.0" encoding="utf-8"?>
<calcChain xmlns="http://schemas.openxmlformats.org/spreadsheetml/2006/main">
  <c r="F27" i="1" l="1"/>
  <c r="F48" i="1"/>
  <c r="B54" i="1"/>
  <c r="B57" i="1" s="1"/>
  <c r="B49" i="1"/>
  <c r="B47" i="1"/>
  <c r="B46" i="1"/>
  <c r="B41" i="1"/>
  <c r="B40" i="1"/>
  <c r="B39" i="1"/>
  <c r="B38" i="1"/>
  <c r="B36" i="1"/>
  <c r="B30" i="1"/>
  <c r="B25" i="1"/>
  <c r="B18" i="1"/>
  <c r="B17" i="1"/>
  <c r="B20" i="1" l="1"/>
  <c r="B31" i="1"/>
  <c r="B50" i="1"/>
  <c r="B42" i="1"/>
  <c r="B58" i="1" s="1"/>
  <c r="B32" i="1" l="1"/>
  <c r="F30" i="1"/>
  <c r="F24" i="1"/>
  <c r="F18" i="1"/>
  <c r="F17" i="1"/>
  <c r="F41" i="1"/>
  <c r="F46" i="1"/>
  <c r="F49" i="1"/>
  <c r="F47" i="1"/>
  <c r="F40" i="1"/>
  <c r="F38" i="1"/>
  <c r="F36" i="1"/>
  <c r="D54" i="1" l="1"/>
  <c r="D57" i="1" s="1"/>
  <c r="D49" i="1"/>
  <c r="D48" i="1"/>
  <c r="D47" i="1"/>
  <c r="D46" i="1"/>
  <c r="D41" i="1"/>
  <c r="D40" i="1"/>
  <c r="D38" i="1"/>
  <c r="D36" i="1"/>
  <c r="D30" i="1"/>
  <c r="D27" i="1"/>
  <c r="D25" i="1"/>
  <c r="D24" i="1"/>
  <c r="D18" i="1"/>
  <c r="D17" i="1"/>
  <c r="D20" i="1" l="1"/>
  <c r="D31" i="1"/>
  <c r="D32" i="1" s="1"/>
  <c r="D42" i="1"/>
  <c r="D50" i="1"/>
  <c r="D58" i="1" l="1"/>
  <c r="E39" i="4"/>
  <c r="E35" i="4"/>
  <c r="C31" i="4"/>
  <c r="D29" i="4"/>
  <c r="E29" i="4" s="1"/>
  <c r="D28" i="4"/>
  <c r="E28" i="4" s="1"/>
  <c r="D27" i="4"/>
  <c r="E27" i="4" s="1"/>
  <c r="D26" i="4"/>
  <c r="C22" i="4"/>
  <c r="C33" i="4" s="1"/>
  <c r="D20" i="4"/>
  <c r="E20" i="4" s="1"/>
  <c r="D19" i="4"/>
  <c r="E19" i="4" s="1"/>
  <c r="D18" i="4"/>
  <c r="E18" i="4" s="1"/>
  <c r="D17" i="4"/>
  <c r="D31" i="4" l="1"/>
  <c r="D22" i="4"/>
  <c r="C41" i="4"/>
  <c r="C37" i="4"/>
  <c r="E17" i="4"/>
  <c r="E22" i="4" s="1"/>
  <c r="E26" i="4"/>
  <c r="E31" i="4" s="1"/>
  <c r="D33" i="4" l="1"/>
  <c r="D41" i="4" s="1"/>
  <c r="E33" i="4"/>
  <c r="E41" i="4" s="1"/>
  <c r="D37" i="4" l="1"/>
  <c r="E37" i="4" s="1"/>
  <c r="F61" i="3"/>
  <c r="G60" i="3"/>
  <c r="G59" i="3"/>
  <c r="F58" i="3"/>
  <c r="G58" i="3" s="1"/>
  <c r="G61" i="3" s="1"/>
  <c r="D58" i="3"/>
  <c r="D61" i="3" s="1"/>
  <c r="B58" i="3"/>
  <c r="B61" i="3" s="1"/>
  <c r="F53" i="3"/>
  <c r="G53" i="3" s="1"/>
  <c r="D53" i="3"/>
  <c r="D54" i="3" s="1"/>
  <c r="B53" i="3"/>
  <c r="F52" i="3"/>
  <c r="G52" i="3" s="1"/>
  <c r="G51" i="3"/>
  <c r="F51" i="3"/>
  <c r="D51" i="3"/>
  <c r="B51" i="3"/>
  <c r="F50" i="3"/>
  <c r="F54" i="3" s="1"/>
  <c r="D50" i="3"/>
  <c r="B50" i="3"/>
  <c r="G49" i="3"/>
  <c r="B49" i="3"/>
  <c r="B54" i="3" s="1"/>
  <c r="B46" i="3"/>
  <c r="B62" i="3" s="1"/>
  <c r="F45" i="3"/>
  <c r="G45" i="3" s="1"/>
  <c r="D45" i="3"/>
  <c r="B45" i="3"/>
  <c r="F44" i="3"/>
  <c r="G44" i="3" s="1"/>
  <c r="D44" i="3"/>
  <c r="D46" i="3" s="1"/>
  <c r="B44" i="3"/>
  <c r="F43" i="3"/>
  <c r="G43" i="3" s="1"/>
  <c r="D43" i="3"/>
  <c r="B43" i="3"/>
  <c r="H42" i="3"/>
  <c r="H43" i="3" s="1"/>
  <c r="F42" i="3"/>
  <c r="F46" i="3" s="1"/>
  <c r="F62" i="3" s="1"/>
  <c r="D42" i="3"/>
  <c r="B42" i="3"/>
  <c r="G40" i="3"/>
  <c r="F40" i="3"/>
  <c r="D40" i="3"/>
  <c r="B40" i="3"/>
  <c r="F34" i="3"/>
  <c r="G34" i="3" s="1"/>
  <c r="D34" i="3"/>
  <c r="B34" i="3"/>
  <c r="G33" i="3"/>
  <c r="G32" i="3"/>
  <c r="F31" i="3"/>
  <c r="G31" i="3" s="1"/>
  <c r="D31" i="3"/>
  <c r="B31" i="3"/>
  <c r="B35" i="3" s="1"/>
  <c r="B36" i="3" s="1"/>
  <c r="G30" i="3"/>
  <c r="F29" i="3"/>
  <c r="G29" i="3" s="1"/>
  <c r="D29" i="3"/>
  <c r="B29" i="3"/>
  <c r="F28" i="3"/>
  <c r="F35" i="3" s="1"/>
  <c r="D28" i="3"/>
  <c r="D35" i="3" s="1"/>
  <c r="B28" i="3"/>
  <c r="G23" i="3"/>
  <c r="F22" i="3"/>
  <c r="F24" i="3" s="1"/>
  <c r="D22" i="3"/>
  <c r="B22" i="3"/>
  <c r="G21" i="3"/>
  <c r="F21" i="3"/>
  <c r="D21" i="3"/>
  <c r="D24" i="3" s="1"/>
  <c r="B21" i="3"/>
  <c r="B24" i="3" s="1"/>
  <c r="G62" i="3" l="1"/>
  <c r="B70" i="3"/>
  <c r="D36" i="3"/>
  <c r="F36" i="3"/>
  <c r="G46" i="3"/>
  <c r="D62" i="3"/>
  <c r="G22" i="3"/>
  <c r="G24" i="3" s="1"/>
  <c r="G42" i="3"/>
  <c r="G50" i="3"/>
  <c r="G54" i="3" s="1"/>
  <c r="G28" i="3"/>
  <c r="G35" i="3" s="1"/>
  <c r="G36" i="3" l="1"/>
  <c r="D70" i="3"/>
  <c r="F70" i="3"/>
  <c r="F62" i="2" l="1"/>
  <c r="D62" i="2"/>
  <c r="G61" i="2"/>
  <c r="G60" i="2"/>
  <c r="G59" i="2"/>
  <c r="F58" i="2"/>
  <c r="G58" i="2" s="1"/>
  <c r="G62" i="2" s="1"/>
  <c r="D58" i="2"/>
  <c r="B58" i="2"/>
  <c r="B62" i="2" s="1"/>
  <c r="F53" i="2"/>
  <c r="G53" i="2" s="1"/>
  <c r="D53" i="2"/>
  <c r="B53" i="2"/>
  <c r="G52" i="2"/>
  <c r="F51" i="2"/>
  <c r="G51" i="2" s="1"/>
  <c r="D51" i="2"/>
  <c r="B51" i="2"/>
  <c r="F50" i="2"/>
  <c r="G50" i="2" s="1"/>
  <c r="D50" i="2"/>
  <c r="D54" i="2" s="1"/>
  <c r="B50" i="2"/>
  <c r="G49" i="2"/>
  <c r="B49" i="2"/>
  <c r="B54" i="2" s="1"/>
  <c r="B46" i="2"/>
  <c r="B63" i="2" s="1"/>
  <c r="G45" i="2"/>
  <c r="F45" i="2"/>
  <c r="D45" i="2"/>
  <c r="B45" i="2"/>
  <c r="G44" i="2"/>
  <c r="F44" i="2"/>
  <c r="D44" i="2"/>
  <c r="B44" i="2"/>
  <c r="H43" i="2"/>
  <c r="F43" i="2"/>
  <c r="G43" i="2" s="1"/>
  <c r="D43" i="2"/>
  <c r="B43" i="2"/>
  <c r="H42" i="2"/>
  <c r="F42" i="2"/>
  <c r="G42" i="2" s="1"/>
  <c r="D42" i="2"/>
  <c r="B42" i="2"/>
  <c r="F40" i="2"/>
  <c r="F46" i="2" s="1"/>
  <c r="D40" i="2"/>
  <c r="D46" i="2" s="1"/>
  <c r="B40" i="2"/>
  <c r="F34" i="2"/>
  <c r="F35" i="2" s="1"/>
  <c r="F36" i="2" s="1"/>
  <c r="D34" i="2"/>
  <c r="B34" i="2"/>
  <c r="G33" i="2"/>
  <c r="G32" i="2"/>
  <c r="G31" i="2"/>
  <c r="F31" i="2"/>
  <c r="D31" i="2"/>
  <c r="B31" i="2"/>
  <c r="G30" i="2"/>
  <c r="F29" i="2"/>
  <c r="G29" i="2" s="1"/>
  <c r="D29" i="2"/>
  <c r="B29" i="2"/>
  <c r="F28" i="2"/>
  <c r="G28" i="2" s="1"/>
  <c r="D28" i="2"/>
  <c r="D35" i="2" s="1"/>
  <c r="B28" i="2"/>
  <c r="B35" i="2" s="1"/>
  <c r="B36" i="2" s="1"/>
  <c r="B24" i="2"/>
  <c r="G23" i="2"/>
  <c r="F22" i="2"/>
  <c r="G22" i="2" s="1"/>
  <c r="D22" i="2"/>
  <c r="B22" i="2"/>
  <c r="F21" i="2"/>
  <c r="F24" i="2" s="1"/>
  <c r="D21" i="2"/>
  <c r="D24" i="2" s="1"/>
  <c r="B21" i="2"/>
  <c r="B71" i="2" l="1"/>
  <c r="G54" i="2"/>
  <c r="D36" i="2"/>
  <c r="D63" i="2"/>
  <c r="G21" i="2"/>
  <c r="G24" i="2" s="1"/>
  <c r="G40" i="2"/>
  <c r="G46" i="2" s="1"/>
  <c r="F54" i="2"/>
  <c r="F63" i="2" s="1"/>
  <c r="G34" i="2"/>
  <c r="G35" i="2" s="1"/>
  <c r="D71" i="2" l="1"/>
  <c r="F71" i="2"/>
  <c r="G63" i="2"/>
  <c r="G36" i="2"/>
  <c r="F50" i="1" l="1"/>
  <c r="F25" i="1"/>
  <c r="F31" i="1" s="1"/>
  <c r="F54" i="1"/>
  <c r="F57" i="1" s="1"/>
  <c r="E66" i="1"/>
  <c r="F20" i="1"/>
  <c r="F42" i="1"/>
  <c r="D66" i="1"/>
  <c r="F32" i="1" l="1"/>
  <c r="F58" i="1"/>
  <c r="B66" i="1"/>
  <c r="F66" i="1" l="1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<sst xmlns="http://schemas.openxmlformats.org/spreadsheetml/2006/main" count="211" uniqueCount="94">
  <si>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</si>
  <si>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</si>
  <si>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</si>
  <si>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</si>
  <si>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</si>
  <si>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</si>
  <si>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</si>
  <si>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</si>
  <si>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</si>
  <si>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</si>
  <si>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</si>
  <si>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</si>
  <si>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</si>
  <si>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</si>
  <si>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</si>
  <si>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</si>
  <si>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</si>
  <si>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</si>
  <si>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</si>
  <si>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</si>
  <si>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</si>
  <si>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</si>
  <si>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</si>
  <si>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</si>
  <si>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</si>
  <si>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</si>
  <si>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</si>
  <si>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</si>
  <si>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</si>
  <si>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</si>
  <si>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</si>
  <si>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</si>
  <si>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</si>
  <si>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</si>
  <si>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</si>
  <si>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</si>
  <si>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</si>
  <si>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</si>
  <si>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</si>
  <si>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</si>
  <si>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</si>
  <si>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</si>
  <si>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</si>
  <si>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</si>
  <si>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</si>
  <si>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</si>
  <si>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</si>
  <si>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</si>
  <si>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</si>
  <si>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</si>
  <si>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</si>
  <si>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</si>
  <si>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</si>
  <si>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</si>
  <si>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</si>
  <si>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</si>
  <si>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</si>
  <si>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</si>
  <si>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</si>
  <si>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</si>
  <si>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</si>
  <si>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</si>
  <si>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</si>
  <si>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</si>
  <si>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</si>
  <si>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</si>
  <si>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</si>
  <si>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</si>
  <si>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</si>
  <si>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</si>
  <si>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</si>
  <si>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</si>
  <si>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</si>
  <si>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</si>
  <si>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</si>
  <si>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</si>
  <si>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</si>
  <si>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</si>
  <si>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</si>
  <si>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</si>
  <si>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</si>
  <si>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</si>
  <si>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</si>
  <si>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</si>
  <si>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</si>
  <si>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r>
      <t xml:space="preserve">   Amounts Due to Government of Jamaica</t>
    </r>
    <r>
      <rPr>
        <b/>
        <sz val="12"/>
        <rFont val="Arial Unicode MS"/>
        <family val="2"/>
      </rPr>
      <t xml:space="preserve"> </t>
    </r>
  </si>
  <si>
    <t xml:space="preserve">      Advances and Other GOJ Receivables *</t>
  </si>
  <si>
    <t>28 AUGUST</t>
  </si>
  <si>
    <t>As At 11 SEPTEMBER 2013</t>
  </si>
  <si>
    <t>11 SEPTEMBER</t>
  </si>
  <si>
    <t>12 SEPTEMBER</t>
  </si>
  <si>
    <r>
      <t xml:space="preserve">* </t>
    </r>
    <r>
      <rPr>
        <sz val="12"/>
        <rFont val="Arial Unicode MS"/>
        <family val="2"/>
      </rPr>
      <t>The year to date loss of $15.19bn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</si>
  <si>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</si>
  <si>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26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</si>
</sst>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4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showOutlineSymbols="0" zoomScale="75" zoomScaleNormal="75" zoomScaleSheetLayoutView="75" workbookViewId="0">
      <selection activeCell="A67" sqref="A6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145" t="s">
        <v>92</v>
      </c>
      <c r="B5" s="4"/>
      <c r="C5" s="4"/>
      <c r="D5" s="4"/>
      <c r="F5" s="4"/>
    </row>
    <row r="6" spans="1:6" ht="16.5" customHeight="1">
      <c r="A6" s="146" t="s">
        <v>93</v>
      </c>
      <c r="B6" s="4"/>
      <c r="C6" s="4"/>
      <c r="D6" s="4"/>
      <c r="F6" s="4"/>
    </row>
    <row r="7" spans="1:6">
      <c r="A7" s="8"/>
      <c r="B7" s="9"/>
      <c r="C7" s="10"/>
      <c r="D7" s="9"/>
      <c r="E7" s="10"/>
      <c r="F7" s="9"/>
    </row>
    <row r="8" spans="1:6" s="14" customFormat="1" ht="20.25">
      <c r="A8" s="11" t="s">
        <v>1</v>
      </c>
      <c r="B8" s="12"/>
      <c r="C8" s="13"/>
      <c r="D8" s="12"/>
      <c r="E8" s="13"/>
      <c r="F8" s="12"/>
    </row>
    <row r="9" spans="1:6" s="14" customFormat="1" ht="20.25">
      <c r="A9" s="15" t="s">
        <v>2</v>
      </c>
      <c r="B9" s="16"/>
      <c r="C9" s="17"/>
      <c r="D9" s="16"/>
      <c r="E9" s="17"/>
      <c r="F9" s="16"/>
    </row>
    <row r="10" spans="1:6" s="14" customFormat="1" ht="20.25">
      <c r="A10" s="15" t="s">
        <v>88</v>
      </c>
      <c r="B10" s="16"/>
      <c r="C10" s="17"/>
      <c r="D10" s="16"/>
      <c r="E10" s="17"/>
      <c r="F10" s="16"/>
    </row>
    <row r="11" spans="1:6" s="14" customFormat="1">
      <c r="A11" s="18" t="s">
        <v>3</v>
      </c>
      <c r="B11" s="19"/>
      <c r="C11" s="19"/>
      <c r="D11" s="19"/>
      <c r="E11" s="19"/>
      <c r="F11" s="20"/>
    </row>
    <row r="12" spans="1:6" s="14" customFormat="1">
      <c r="A12" s="21"/>
      <c r="B12" s="66">
        <v>2012</v>
      </c>
      <c r="C12" s="22"/>
      <c r="D12" s="66">
        <v>2013</v>
      </c>
      <c r="E12" s="23"/>
      <c r="F12" s="66">
        <v>2013</v>
      </c>
    </row>
    <row r="13" spans="1:6" s="14" customFormat="1">
      <c r="A13" s="21"/>
      <c r="B13" s="67" t="s">
        <v>90</v>
      </c>
      <c r="C13" s="24"/>
      <c r="D13" s="67" t="s">
        <v>87</v>
      </c>
      <c r="E13" s="24"/>
      <c r="F13" s="67" t="s">
        <v>89</v>
      </c>
    </row>
    <row r="14" spans="1:6" s="14" customFormat="1">
      <c r="A14" s="21"/>
      <c r="B14" s="68" t="s">
        <v>5</v>
      </c>
      <c r="C14" s="24"/>
      <c r="D14" s="68" t="s">
        <v>5</v>
      </c>
      <c r="E14" s="24"/>
      <c r="F14" s="68" t="s">
        <v>5</v>
      </c>
    </row>
    <row r="15" spans="1:6" s="14" customFormat="1">
      <c r="A15" s="25" t="s">
        <v>6</v>
      </c>
      <c r="B15" s="69"/>
      <c r="C15" s="26"/>
      <c r="D15" s="69"/>
      <c r="E15" s="26"/>
      <c r="F15" s="69"/>
    </row>
    <row r="16" spans="1:6" s="14" customFormat="1">
      <c r="A16" s="27" t="s">
        <v>7</v>
      </c>
      <c r="B16" s="69"/>
      <c r="C16" s="26"/>
      <c r="D16" s="69"/>
      <c r="E16" s="26"/>
      <c r="F16" s="69"/>
    </row>
    <row r="17" spans="1:6" s="14" customFormat="1">
      <c r="A17" s="21" t="s">
        <v>8</v>
      </c>
      <c r="B17" s="70">
        <f>35862513-20797</f>
        <v>35841716</v>
      </c>
      <c r="C17" s="28"/>
      <c r="D17" s="70">
        <f>40206074-22113</f>
        <v>40183961</v>
      </c>
      <c r="E17" s="28"/>
      <c r="F17" s="70">
        <f>39954040-22142</f>
        <v>39931898</v>
      </c>
    </row>
    <row r="18" spans="1:6" s="14" customFormat="1">
      <c r="A18" s="21" t="s">
        <v>9</v>
      </c>
      <c r="B18" s="70">
        <f>62650+36854932+116613942+14093853+2167-35862513+20797</f>
        <v>131785828</v>
      </c>
      <c r="C18" s="28"/>
      <c r="D18" s="70">
        <f>119748+22756729+103951264+15969149+147-40206074+22113</f>
        <v>102613076</v>
      </c>
      <c r="E18" s="28"/>
      <c r="F18" s="70">
        <f>120260+26611751+104036451+16014161+751-39954040+22142</f>
        <v>106851476</v>
      </c>
    </row>
    <row r="19" spans="1:6" s="14" customFormat="1">
      <c r="A19" s="21" t="s">
        <v>42</v>
      </c>
      <c r="B19" s="70">
        <v>27155919</v>
      </c>
      <c r="C19" s="28"/>
      <c r="D19" s="70">
        <v>30018834</v>
      </c>
      <c r="E19" s="28"/>
      <c r="F19" s="70">
        <v>29978476</v>
      </c>
    </row>
    <row r="20" spans="1:6" s="14" customFormat="1">
      <c r="A20" s="27" t="s">
        <v>10</v>
      </c>
      <c r="B20" s="71">
        <f>+B17+B18+B19</f>
        <v>194783463</v>
      </c>
      <c r="C20" s="29"/>
      <c r="D20" s="71">
        <f>+D17+D18+D19</f>
        <v>172815871</v>
      </c>
      <c r="E20" s="29"/>
      <c r="F20" s="71">
        <f>+F17+F18+F19</f>
        <v>176761850</v>
      </c>
    </row>
    <row r="21" spans="1:6" s="14" customFormat="1">
      <c r="A21" s="21"/>
      <c r="B21" s="70"/>
      <c r="C21" s="28"/>
      <c r="D21" s="70"/>
      <c r="E21" s="28"/>
      <c r="F21" s="70"/>
    </row>
    <row r="22" spans="1:6" s="14" customFormat="1">
      <c r="A22" s="27" t="s">
        <v>11</v>
      </c>
      <c r="B22" s="70"/>
      <c r="C22" s="28"/>
      <c r="D22" s="70"/>
      <c r="E22" s="28"/>
      <c r="F22" s="70"/>
    </row>
    <row r="23" spans="1:6" s="14" customFormat="1">
      <c r="A23" s="21" t="s">
        <v>12</v>
      </c>
      <c r="B23" s="70" t="s">
        <v>13</v>
      </c>
      <c r="C23" s="28"/>
      <c r="D23" s="70" t="s">
        <v>13</v>
      </c>
      <c r="E23" s="28"/>
      <c r="F23" s="70" t="s">
        <v>13</v>
      </c>
    </row>
    <row r="24" spans="1:6" s="14" customFormat="1">
      <c r="A24" s="21" t="s">
        <v>44</v>
      </c>
      <c r="B24" s="70">
        <v>92436786</v>
      </c>
      <c r="C24" s="28"/>
      <c r="D24" s="70">
        <f>4557+100515246</f>
        <v>100519803</v>
      </c>
      <c r="E24" s="28"/>
      <c r="F24" s="70">
        <f>100360499+4571</f>
        <v>100365070</v>
      </c>
    </row>
    <row r="25" spans="1:6" s="14" customFormat="1" hidden="1">
      <c r="A25" s="21" t="s">
        <v>14</v>
      </c>
      <c r="B25" s="70">
        <f>0</f>
        <v>0</v>
      </c>
      <c r="C25" s="28"/>
      <c r="D25" s="70">
        <f>0</f>
        <v>0</v>
      </c>
      <c r="E25" s="28"/>
      <c r="F25" s="70">
        <f>0</f>
        <v>0</v>
      </c>
    </row>
    <row r="26" spans="1:6" s="14" customFormat="1" hidden="1">
      <c r="A26" s="21" t="s">
        <v>15</v>
      </c>
      <c r="B26" s="70">
        <v>0</v>
      </c>
      <c r="C26" s="28"/>
      <c r="D26" s="70">
        <v>0</v>
      </c>
      <c r="E26" s="28"/>
      <c r="F26" s="70">
        <v>0</v>
      </c>
    </row>
    <row r="27" spans="1:6" s="14" customFormat="1">
      <c r="A27" s="21" t="s">
        <v>86</v>
      </c>
      <c r="B27" s="72">
        <v>13369335</v>
      </c>
      <c r="C27" s="47"/>
      <c r="D27" s="72">
        <f>9739470+15720941</f>
        <v>25460411</v>
      </c>
      <c r="E27" s="28"/>
      <c r="F27" s="72">
        <f>9739470+15194141</f>
        <v>24933611</v>
      </c>
    </row>
    <row r="28" spans="1:6" s="14" customFormat="1" ht="17.25" hidden="1" customHeight="1">
      <c r="A28" s="21" t="s">
        <v>16</v>
      </c>
      <c r="B28" s="70">
        <v>0</v>
      </c>
      <c r="C28" s="30"/>
      <c r="D28" s="70">
        <v>0</v>
      </c>
      <c r="E28" s="31"/>
      <c r="F28" s="70">
        <v>0</v>
      </c>
    </row>
    <row r="29" spans="1:6" s="14" customFormat="1" hidden="1">
      <c r="A29" s="21" t="s">
        <v>17</v>
      </c>
      <c r="B29" s="70">
        <v>10</v>
      </c>
      <c r="C29" s="28"/>
      <c r="D29" s="70">
        <v>0</v>
      </c>
      <c r="E29" s="28"/>
      <c r="F29" s="70">
        <v>0</v>
      </c>
    </row>
    <row r="30" spans="1:6" s="14" customFormat="1">
      <c r="A30" s="21" t="s">
        <v>18</v>
      </c>
      <c r="B30" s="73">
        <f>106797+4315897+3343476+1504+2765725+12415782</f>
        <v>22949181</v>
      </c>
      <c r="C30" s="28"/>
      <c r="D30" s="73">
        <f>109277+4206706+3262104-38054+1114+3167682+14269630</f>
        <v>24978459</v>
      </c>
      <c r="E30" s="28"/>
      <c r="F30" s="73">
        <f>106244+4206706+3240486-102258+1113+3535573+14295657</f>
        <v>25283521</v>
      </c>
    </row>
    <row r="31" spans="1:6" s="14" customFormat="1">
      <c r="A31" s="27" t="s">
        <v>19</v>
      </c>
      <c r="B31" s="74">
        <f>SUM(B24:B30)</f>
        <v>128755312</v>
      </c>
      <c r="C31" s="32"/>
      <c r="D31" s="74">
        <f>SUM(D24:D30)</f>
        <v>150958673</v>
      </c>
      <c r="E31" s="32"/>
      <c r="F31" s="74">
        <f>SUM(F24:F30)</f>
        <v>150582202</v>
      </c>
    </row>
    <row r="32" spans="1:6" s="14" customFormat="1" ht="18" thickBot="1">
      <c r="A32" s="25" t="s">
        <v>20</v>
      </c>
      <c r="B32" s="75">
        <f>+B31+B20</f>
        <v>323538775</v>
      </c>
      <c r="C32" s="32"/>
      <c r="D32" s="75">
        <f>+D31+D20</f>
        <v>323774544</v>
      </c>
      <c r="E32" s="32"/>
      <c r="F32" s="75">
        <f>+F31+F20</f>
        <v>327344052</v>
      </c>
    </row>
    <row r="33" spans="1:6" s="14" customFormat="1" ht="18" thickTop="1">
      <c r="A33" s="21"/>
      <c r="B33" s="70"/>
      <c r="C33" s="28"/>
      <c r="D33" s="70"/>
      <c r="E33" s="28"/>
      <c r="F33" s="70"/>
    </row>
    <row r="34" spans="1:6" s="14" customFormat="1">
      <c r="A34" s="25" t="s">
        <v>21</v>
      </c>
      <c r="B34" s="70"/>
      <c r="C34" s="28"/>
      <c r="D34" s="70"/>
      <c r="E34" s="28"/>
      <c r="F34" s="70"/>
    </row>
    <row r="35" spans="1:6" s="14" customFormat="1">
      <c r="A35" s="27" t="s">
        <v>22</v>
      </c>
      <c r="B35" s="76"/>
      <c r="C35" s="28"/>
      <c r="D35" s="76"/>
      <c r="E35" s="28"/>
      <c r="F35" s="76"/>
    </row>
    <row r="36" spans="1:6" s="14" customFormat="1">
      <c r="A36" s="21" t="s">
        <v>23</v>
      </c>
      <c r="B36" s="70">
        <f>51921180+2543785</f>
        <v>54464965</v>
      </c>
      <c r="C36" s="28"/>
      <c r="D36" s="70">
        <f>57069245+2738396</f>
        <v>59807641</v>
      </c>
      <c r="E36" s="28"/>
      <c r="F36" s="70">
        <f>55637232+2749100</f>
        <v>58386332</v>
      </c>
    </row>
    <row r="37" spans="1:6" s="14" customFormat="1">
      <c r="A37" s="21" t="s">
        <v>24</v>
      </c>
      <c r="B37" s="76"/>
      <c r="C37" s="28"/>
      <c r="D37" s="76"/>
      <c r="E37" s="28"/>
      <c r="F37" s="76"/>
    </row>
    <row r="38" spans="1:6" s="14" customFormat="1">
      <c r="A38" s="21" t="s">
        <v>25</v>
      </c>
      <c r="B38" s="70">
        <f>15246872+29461+505441+1835854</f>
        <v>17617628</v>
      </c>
      <c r="C38" s="28"/>
      <c r="D38" s="70">
        <f>2725703+863946+1002692+34622</f>
        <v>4626963</v>
      </c>
      <c r="E38" s="28"/>
      <c r="F38" s="70">
        <f>865745+1466866+12453212+34566</f>
        <v>14820389</v>
      </c>
    </row>
    <row r="39" spans="1:6" s="14" customFormat="1">
      <c r="A39" s="21" t="s">
        <v>26</v>
      </c>
      <c r="B39" s="70">
        <f>55994129+17324493+6754</f>
        <v>73325376</v>
      </c>
      <c r="C39" s="28"/>
      <c r="D39" s="70">
        <v>77384534</v>
      </c>
      <c r="E39" s="28"/>
      <c r="F39" s="70">
        <v>77384534</v>
      </c>
    </row>
    <row r="40" spans="1:6" s="14" customFormat="1">
      <c r="A40" s="21" t="s">
        <v>27</v>
      </c>
      <c r="B40" s="70">
        <f>51489270-2119000</f>
        <v>49370270</v>
      </c>
      <c r="C40" s="28"/>
      <c r="D40" s="70">
        <f>70803426-8667000</f>
        <v>62136426</v>
      </c>
      <c r="E40" s="28"/>
      <c r="F40" s="70">
        <f>66334353-4556000</f>
        <v>61778353</v>
      </c>
    </row>
    <row r="41" spans="1:6" s="14" customFormat="1">
      <c r="A41" s="21" t="s">
        <v>28</v>
      </c>
      <c r="B41" s="70">
        <f>147962028-29461-70083588-505441-1835854-55994129-17324493-6754</f>
        <v>2182308</v>
      </c>
      <c r="C41" s="28"/>
      <c r="D41" s="70">
        <f>48203718-34622-27268406-15193395-863946-1002692</f>
        <v>3840657</v>
      </c>
      <c r="E41" s="28"/>
      <c r="F41" s="70">
        <f>48183978-34566-26818580-16128404-1466866-865745</f>
        <v>2869817</v>
      </c>
    </row>
    <row r="42" spans="1:6" s="14" customFormat="1">
      <c r="A42" s="27" t="s">
        <v>29</v>
      </c>
      <c r="B42" s="74">
        <f>SUM(B36:B41)</f>
        <v>196960547</v>
      </c>
      <c r="C42" s="32"/>
      <c r="D42" s="74">
        <f>SUM(D36:D41)</f>
        <v>207796221</v>
      </c>
      <c r="E42" s="32"/>
      <c r="F42" s="74">
        <f>SUM(F36:F41)</f>
        <v>215239425</v>
      </c>
    </row>
    <row r="43" spans="1:6" s="14" customFormat="1">
      <c r="A43" s="33"/>
      <c r="B43" s="70"/>
      <c r="C43" s="28"/>
      <c r="D43" s="70"/>
      <c r="E43" s="28"/>
      <c r="F43" s="70"/>
    </row>
    <row r="44" spans="1:6" s="14" customFormat="1">
      <c r="A44" s="27" t="s">
        <v>30</v>
      </c>
      <c r="B44" s="70"/>
      <c r="C44" s="28"/>
      <c r="D44" s="70"/>
      <c r="E44" s="28"/>
      <c r="F44" s="70"/>
    </row>
    <row r="45" spans="1:6" s="14" customFormat="1">
      <c r="A45" s="21" t="s">
        <v>43</v>
      </c>
      <c r="B45" s="70">
        <v>35362449</v>
      </c>
      <c r="C45" s="28"/>
      <c r="D45" s="70">
        <v>40485753</v>
      </c>
      <c r="E45" s="28"/>
      <c r="F45" s="70">
        <v>40431324</v>
      </c>
    </row>
    <row r="46" spans="1:6" s="14" customFormat="1">
      <c r="A46" s="21" t="s">
        <v>31</v>
      </c>
      <c r="B46" s="70">
        <f>72005+2606</f>
        <v>74611</v>
      </c>
      <c r="C46" s="28"/>
      <c r="D46" s="70">
        <f>74109-6011</f>
        <v>68098</v>
      </c>
      <c r="E46" s="28"/>
      <c r="F46" s="70">
        <f>161795-5193</f>
        <v>156602</v>
      </c>
    </row>
    <row r="47" spans="1:6" s="14" customFormat="1">
      <c r="A47" s="21" t="s">
        <v>32</v>
      </c>
      <c r="B47" s="70">
        <f>2119000+70083588</f>
        <v>72202588</v>
      </c>
      <c r="C47" s="28"/>
      <c r="D47" s="70">
        <f>27268406+15193395+11126912+8667000</f>
        <v>62255713</v>
      </c>
      <c r="E47" s="28"/>
      <c r="F47" s="70">
        <f>4556000+26818580+16128404+11141761</f>
        <v>58644745</v>
      </c>
    </row>
    <row r="48" spans="1:6" s="14" customFormat="1">
      <c r="A48" s="21" t="s">
        <v>85</v>
      </c>
      <c r="B48" s="72">
        <v>2475998</v>
      </c>
      <c r="C48" s="28"/>
      <c r="D48" s="72">
        <f>-15720941+15720941</f>
        <v>0</v>
      </c>
      <c r="E48" s="28"/>
      <c r="F48" s="72">
        <f>-15194141+15194141</f>
        <v>0</v>
      </c>
    </row>
    <row r="49" spans="1:8" s="14" customFormat="1">
      <c r="A49" s="21" t="s">
        <v>33</v>
      </c>
      <c r="B49" s="70">
        <f>290291+2042385+1445965</f>
        <v>3778641</v>
      </c>
      <c r="C49" s="28"/>
      <c r="D49" s="70">
        <f>2637535+478798+2042429</f>
        <v>5158762</v>
      </c>
      <c r="E49" s="32"/>
      <c r="F49" s="70">
        <f>2512885+468002+2035875</f>
        <v>5016762</v>
      </c>
    </row>
    <row r="50" spans="1:8" s="14" customFormat="1">
      <c r="A50" s="27" t="s">
        <v>34</v>
      </c>
      <c r="B50" s="74">
        <f>SUM(B45:B49)</f>
        <v>113894287</v>
      </c>
      <c r="C50" s="32"/>
      <c r="D50" s="74">
        <f>SUM(D45:D49)</f>
        <v>107968326</v>
      </c>
      <c r="E50" s="28"/>
      <c r="F50" s="74">
        <f>SUM(F45:F49)</f>
        <v>104249433</v>
      </c>
    </row>
    <row r="51" spans="1:8" s="14" customFormat="1">
      <c r="A51" s="21"/>
      <c r="B51" s="70"/>
      <c r="C51" s="28"/>
      <c r="D51" s="70"/>
      <c r="E51" s="28"/>
      <c r="F51" s="70"/>
    </row>
    <row r="52" spans="1:8" s="14" customFormat="1">
      <c r="A52" s="27" t="s">
        <v>35</v>
      </c>
      <c r="B52" s="70"/>
      <c r="C52" s="28"/>
      <c r="D52" s="70"/>
      <c r="E52" s="28"/>
      <c r="F52" s="70"/>
    </row>
    <row r="53" spans="1:8" s="14" customFormat="1">
      <c r="A53" s="21" t="s">
        <v>36</v>
      </c>
      <c r="B53" s="70"/>
      <c r="C53" s="28"/>
      <c r="D53" s="70"/>
      <c r="E53" s="28"/>
      <c r="F53" s="70"/>
    </row>
    <row r="54" spans="1:8" s="14" customFormat="1">
      <c r="A54" s="21" t="s">
        <v>37</v>
      </c>
      <c r="B54" s="70">
        <f>4000</f>
        <v>4000</v>
      </c>
      <c r="C54" s="28"/>
      <c r="D54" s="70">
        <f>4000</f>
        <v>4000</v>
      </c>
      <c r="E54" s="28"/>
      <c r="F54" s="70">
        <f>4000</f>
        <v>4000</v>
      </c>
    </row>
    <row r="55" spans="1:8" s="14" customFormat="1">
      <c r="A55" s="21" t="s">
        <v>38</v>
      </c>
      <c r="B55" s="70">
        <v>20000</v>
      </c>
      <c r="C55" s="28"/>
      <c r="D55" s="70">
        <v>20000</v>
      </c>
      <c r="E55" s="28"/>
      <c r="F55" s="70">
        <v>20000</v>
      </c>
    </row>
    <row r="56" spans="1:8" s="14" customFormat="1">
      <c r="A56" s="21" t="s">
        <v>39</v>
      </c>
      <c r="B56" s="73">
        <v>12659941</v>
      </c>
      <c r="C56" s="28"/>
      <c r="D56" s="73">
        <v>7985997</v>
      </c>
      <c r="E56" s="28"/>
      <c r="F56" s="73">
        <v>7831194</v>
      </c>
    </row>
    <row r="57" spans="1:8" s="14" customFormat="1">
      <c r="A57" s="27" t="s">
        <v>40</v>
      </c>
      <c r="B57" s="77">
        <f>SUM(B54:B56)</f>
        <v>12683941</v>
      </c>
      <c r="C57" s="32"/>
      <c r="D57" s="77">
        <f>SUM(D54:D56)</f>
        <v>8009997</v>
      </c>
      <c r="E57" s="32"/>
      <c r="F57" s="77">
        <f>SUM(F54:F56)</f>
        <v>7855194</v>
      </c>
    </row>
    <row r="58" spans="1:8" s="14" customFormat="1" ht="18" thickBot="1">
      <c r="A58" s="34" t="s">
        <v>41</v>
      </c>
      <c r="B58" s="78">
        <f>B42+B50+B57</f>
        <v>323538775</v>
      </c>
      <c r="C58" s="35"/>
      <c r="D58" s="78">
        <f>D42+D50+D57</f>
        <v>323774544</v>
      </c>
      <c r="E58" s="36"/>
      <c r="F58" s="78">
        <f>F42+F50+F57</f>
        <v>327344052</v>
      </c>
    </row>
    <row r="59" spans="1:8" s="14" customFormat="1" ht="18" thickTop="1">
      <c r="A59" s="21"/>
      <c r="B59" s="46"/>
      <c r="C59" s="26"/>
      <c r="D59" s="37"/>
      <c r="E59" s="37"/>
      <c r="F59" s="38"/>
    </row>
    <row r="60" spans="1:8" s="14" customFormat="1" ht="15" customHeight="1">
      <c r="A60" s="18"/>
      <c r="B60" s="19"/>
      <c r="C60" s="39"/>
      <c r="D60" s="19"/>
      <c r="E60" s="39"/>
      <c r="F60" s="20"/>
    </row>
    <row r="61" spans="1:8" s="14" customFormat="1" ht="19.5" customHeight="1">
      <c r="A61" s="49" t="s">
        <v>46</v>
      </c>
      <c r="B61" s="26"/>
      <c r="C61" s="50"/>
      <c r="D61" s="51"/>
      <c r="E61" s="51"/>
      <c r="F61" s="52"/>
    </row>
    <row r="62" spans="1:8" s="14" customFormat="1">
      <c r="A62" s="48" t="s">
        <v>91</v>
      </c>
      <c r="B62" s="40"/>
      <c r="C62" s="41"/>
      <c r="D62" s="42"/>
      <c r="E62" s="40"/>
      <c r="F62" s="42"/>
    </row>
    <row r="63" spans="1:8" s="14" customFormat="1">
      <c r="A63" s="21" t="s">
        <v>45</v>
      </c>
      <c r="B63" s="26"/>
      <c r="C63" s="26"/>
      <c r="D63" s="43"/>
      <c r="E63" s="26"/>
      <c r="F63" s="43"/>
      <c r="G63" s="26"/>
      <c r="H63" s="26"/>
    </row>
    <row r="64" spans="1:8" s="14" customFormat="1">
      <c r="A64" s="18" t="s">
        <v>84</v>
      </c>
      <c r="B64" s="44"/>
      <c r="C64" s="44"/>
      <c r="D64" s="44"/>
      <c r="E64" s="44"/>
      <c r="F64" s="45"/>
    </row>
    <row r="66" spans="2:6" hidden="1">
      <c r="B66">
        <f>B58-B32</f>
        <v>0</v>
      </c>
      <c r="D66">
        <f>D58-D32</f>
        <v>0</v>
      </c>
      <c r="E66" s="4">
        <f>E58-E32</f>
        <v>0</v>
      </c>
      <c r="F66">
        <f>F58-F32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43" t="s">
        <v>57</v>
      </c>
      <c r="B2" s="143"/>
      <c r="C2" s="143"/>
      <c r="D2" s="143"/>
      <c r="E2" s="14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 t="shared" ref="E37" si="0"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- 11 Sept. 2013</vt:lpstr>
      <vt:lpstr>DEFERRED FRAN NOTES CHRG TO RES</vt:lpstr>
      <vt:lpstr>DEFERRED FRAN NOTES CHRG TO P&amp;L</vt:lpstr>
      <vt:lpstr>P&amp;L-DEFERRED FRAN NOTES CHRG </vt:lpstr>
      <vt:lpstr>'Balance Sheet - 11 Sept.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2013-09-05T19:50:36Z</cp:lastPrinted>
  <dcterms:created xsi:type="dcterms:W3CDTF">2009-02-04T22:27:27Z</dcterms:created>
  <dcterms:modified xsi:type="dcterms:W3CDTF">2013-09-26T15:25:22Z</dcterms:modified>
</cp:coreProperties>
</file>