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55" windowWidth="15480" windowHeight="10860"/>
  </bookViews>
  <sheets>
    <sheet name="balance sheet - 10 April 2013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</sheets>
  <externalReferences>
    <externalReference r:id="rId5"/>
  </externalReferences>
  <definedNames>
    <definedName name="_xlnm.Print_Area" localSheetId="0">'balance sheet - 10 April 2013'!$A$10:$F$66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'balance sheet - 10 April 2013'!$A$9:$F$62</definedName>
  </definedNames>
  <calcPr calcId="145621"/>
</workbook>
</file>

<file path=xl/calcChain.xml><?xml version="1.0" encoding="utf-8"?>
<calcChain xmlns="http://schemas.openxmlformats.org/spreadsheetml/2006/main">
  <c r="F49" i="1" l="1"/>
  <c r="F42" i="1"/>
  <c r="D29" i="1" l="1"/>
  <c r="D58" i="1" l="1"/>
  <c r="D51" i="1"/>
  <c r="D48" i="1"/>
  <c r="D43" i="1"/>
  <c r="D38" i="1"/>
  <c r="D32" i="1"/>
  <c r="D21" i="1"/>
  <c r="F29" i="1" l="1"/>
  <c r="F50" i="1"/>
  <c r="F32" i="1"/>
  <c r="F19" i="1"/>
  <c r="F20" i="1"/>
  <c r="B56" i="1" l="1"/>
  <c r="B59" i="1" s="1"/>
  <c r="B51" i="1"/>
  <c r="B49" i="1"/>
  <c r="B48" i="1"/>
  <c r="B47" i="1"/>
  <c r="B43" i="1"/>
  <c r="B42" i="1"/>
  <c r="B41" i="1"/>
  <c r="B40" i="1"/>
  <c r="B38" i="1"/>
  <c r="B32" i="1"/>
  <c r="B27" i="1"/>
  <c r="B26" i="1"/>
  <c r="B20" i="1"/>
  <c r="B19" i="1"/>
  <c r="B22" i="1" s="1"/>
  <c r="B44" i="1" l="1"/>
  <c r="B33" i="1"/>
  <c r="B34" i="1" s="1"/>
  <c r="B52" i="1"/>
  <c r="B60" i="1" s="1"/>
  <c r="F38" i="1"/>
  <c r="F43" i="1"/>
  <c r="F40" i="1"/>
  <c r="F48" i="1"/>
  <c r="F51" i="1" l="1"/>
  <c r="F26" i="1"/>
  <c r="D56" i="1"/>
  <c r="D59" i="1" s="1"/>
  <c r="D50" i="1"/>
  <c r="D52" i="1" s="1"/>
  <c r="D49" i="1"/>
  <c r="D42" i="1"/>
  <c r="D41" i="1"/>
  <c r="D40" i="1"/>
  <c r="D27" i="1"/>
  <c r="D26" i="1"/>
  <c r="D33" i="1" s="1"/>
  <c r="D20" i="1"/>
  <c r="D19" i="1"/>
  <c r="D44" i="1" l="1"/>
  <c r="D22" i="1"/>
  <c r="D34" i="1"/>
  <c r="D60" i="1"/>
  <c r="E39" i="4" l="1"/>
  <c r="E35" i="4"/>
  <c r="C31" i="4"/>
  <c r="D29" i="4"/>
  <c r="E29" i="4" s="1"/>
  <c r="D28" i="4"/>
  <c r="E28" i="4" s="1"/>
  <c r="D27" i="4"/>
  <c r="E27" i="4" s="1"/>
  <c r="D26" i="4"/>
  <c r="C22" i="4"/>
  <c r="C33" i="4" s="1"/>
  <c r="D20" i="4"/>
  <c r="E20" i="4" s="1"/>
  <c r="D19" i="4"/>
  <c r="E19" i="4" s="1"/>
  <c r="D18" i="4"/>
  <c r="E18" i="4" s="1"/>
  <c r="D17" i="4"/>
  <c r="D31" i="4" l="1"/>
  <c r="D22" i="4"/>
  <c r="C41" i="4"/>
  <c r="C37" i="4"/>
  <c r="E17" i="4"/>
  <c r="E22" i="4" s="1"/>
  <c r="E26" i="4"/>
  <c r="E31" i="4" s="1"/>
  <c r="D33" i="4" l="1"/>
  <c r="D41" i="4" s="1"/>
  <c r="E33" i="4"/>
  <c r="E41" i="4" s="1"/>
  <c r="D37" i="4" l="1"/>
  <c r="E37" i="4" s="1"/>
  <c r="F61" i="3"/>
  <c r="G60" i="3"/>
  <c r="G59" i="3"/>
  <c r="F58" i="3"/>
  <c r="G58" i="3" s="1"/>
  <c r="G61" i="3" s="1"/>
  <c r="D58" i="3"/>
  <c r="D61" i="3" s="1"/>
  <c r="B58" i="3"/>
  <c r="B61" i="3" s="1"/>
  <c r="F53" i="3"/>
  <c r="G53" i="3" s="1"/>
  <c r="D53" i="3"/>
  <c r="D54" i="3" s="1"/>
  <c r="B53" i="3"/>
  <c r="F52" i="3"/>
  <c r="G52" i="3" s="1"/>
  <c r="G51" i="3"/>
  <c r="F51" i="3"/>
  <c r="D51" i="3"/>
  <c r="B51" i="3"/>
  <c r="F50" i="3"/>
  <c r="F54" i="3" s="1"/>
  <c r="D50" i="3"/>
  <c r="B50" i="3"/>
  <c r="G49" i="3"/>
  <c r="B49" i="3"/>
  <c r="B54" i="3" s="1"/>
  <c r="B46" i="3"/>
  <c r="B62" i="3" s="1"/>
  <c r="F45" i="3"/>
  <c r="G45" i="3" s="1"/>
  <c r="D45" i="3"/>
  <c r="B45" i="3"/>
  <c r="F44" i="3"/>
  <c r="G44" i="3" s="1"/>
  <c r="D44" i="3"/>
  <c r="D46" i="3" s="1"/>
  <c r="B44" i="3"/>
  <c r="F43" i="3"/>
  <c r="G43" i="3" s="1"/>
  <c r="D43" i="3"/>
  <c r="B43" i="3"/>
  <c r="H42" i="3"/>
  <c r="H43" i="3" s="1"/>
  <c r="F42" i="3"/>
  <c r="F46" i="3" s="1"/>
  <c r="F62" i="3" s="1"/>
  <c r="D42" i="3"/>
  <c r="B42" i="3"/>
  <c r="G40" i="3"/>
  <c r="F40" i="3"/>
  <c r="D40" i="3"/>
  <c r="B40" i="3"/>
  <c r="F34" i="3"/>
  <c r="G34" i="3" s="1"/>
  <c r="D34" i="3"/>
  <c r="B34" i="3"/>
  <c r="G33" i="3"/>
  <c r="G32" i="3"/>
  <c r="F31" i="3"/>
  <c r="G31" i="3" s="1"/>
  <c r="D31" i="3"/>
  <c r="B31" i="3"/>
  <c r="B35" i="3" s="1"/>
  <c r="B36" i="3" s="1"/>
  <c r="G30" i="3"/>
  <c r="F29" i="3"/>
  <c r="G29" i="3" s="1"/>
  <c r="D29" i="3"/>
  <c r="B29" i="3"/>
  <c r="F28" i="3"/>
  <c r="F35" i="3" s="1"/>
  <c r="D28" i="3"/>
  <c r="D35" i="3" s="1"/>
  <c r="B28" i="3"/>
  <c r="G23" i="3"/>
  <c r="F22" i="3"/>
  <c r="F24" i="3" s="1"/>
  <c r="D22" i="3"/>
  <c r="B22" i="3"/>
  <c r="G21" i="3"/>
  <c r="F21" i="3"/>
  <c r="D21" i="3"/>
  <c r="D24" i="3" s="1"/>
  <c r="B21" i="3"/>
  <c r="B24" i="3" s="1"/>
  <c r="G62" i="3" l="1"/>
  <c r="B70" i="3"/>
  <c r="D36" i="3"/>
  <c r="F36" i="3"/>
  <c r="G46" i="3"/>
  <c r="D62" i="3"/>
  <c r="G22" i="3"/>
  <c r="G24" i="3" s="1"/>
  <c r="G42" i="3"/>
  <c r="G50" i="3"/>
  <c r="G54" i="3" s="1"/>
  <c r="G28" i="3"/>
  <c r="G35" i="3" s="1"/>
  <c r="G36" i="3" l="1"/>
  <c r="D70" i="3"/>
  <c r="F70" i="3"/>
  <c r="F62" i="2" l="1"/>
  <c r="D62" i="2"/>
  <c r="G61" i="2"/>
  <c r="G60" i="2"/>
  <c r="G59" i="2"/>
  <c r="F58" i="2"/>
  <c r="G58" i="2" s="1"/>
  <c r="G62" i="2" s="1"/>
  <c r="D58" i="2"/>
  <c r="B58" i="2"/>
  <c r="B62" i="2" s="1"/>
  <c r="F53" i="2"/>
  <c r="G53" i="2" s="1"/>
  <c r="D53" i="2"/>
  <c r="B53" i="2"/>
  <c r="G52" i="2"/>
  <c r="F51" i="2"/>
  <c r="G51" i="2" s="1"/>
  <c r="D51" i="2"/>
  <c r="B51" i="2"/>
  <c r="F50" i="2"/>
  <c r="G50" i="2" s="1"/>
  <c r="D50" i="2"/>
  <c r="D54" i="2" s="1"/>
  <c r="B50" i="2"/>
  <c r="G49" i="2"/>
  <c r="B49" i="2"/>
  <c r="B54" i="2" s="1"/>
  <c r="B46" i="2"/>
  <c r="B63" i="2" s="1"/>
  <c r="G45" i="2"/>
  <c r="F45" i="2"/>
  <c r="D45" i="2"/>
  <c r="B45" i="2"/>
  <c r="G44" i="2"/>
  <c r="F44" i="2"/>
  <c r="D44" i="2"/>
  <c r="B44" i="2"/>
  <c r="H43" i="2"/>
  <c r="F43" i="2"/>
  <c r="G43" i="2" s="1"/>
  <c r="D43" i="2"/>
  <c r="B43" i="2"/>
  <c r="H42" i="2"/>
  <c r="F42" i="2"/>
  <c r="G42" i="2" s="1"/>
  <c r="D42" i="2"/>
  <c r="B42" i="2"/>
  <c r="F40" i="2"/>
  <c r="F46" i="2" s="1"/>
  <c r="D40" i="2"/>
  <c r="D46" i="2" s="1"/>
  <c r="B40" i="2"/>
  <c r="F34" i="2"/>
  <c r="F35" i="2" s="1"/>
  <c r="F36" i="2" s="1"/>
  <c r="D34" i="2"/>
  <c r="B34" i="2"/>
  <c r="G33" i="2"/>
  <c r="G32" i="2"/>
  <c r="G31" i="2"/>
  <c r="F31" i="2"/>
  <c r="D31" i="2"/>
  <c r="B31" i="2"/>
  <c r="G30" i="2"/>
  <c r="F29" i="2"/>
  <c r="G29" i="2" s="1"/>
  <c r="D29" i="2"/>
  <c r="B29" i="2"/>
  <c r="F28" i="2"/>
  <c r="G28" i="2" s="1"/>
  <c r="D28" i="2"/>
  <c r="D35" i="2" s="1"/>
  <c r="B28" i="2"/>
  <c r="B35" i="2" s="1"/>
  <c r="B36" i="2" s="1"/>
  <c r="B24" i="2"/>
  <c r="G23" i="2"/>
  <c r="F22" i="2"/>
  <c r="G22" i="2" s="1"/>
  <c r="D22" i="2"/>
  <c r="B22" i="2"/>
  <c r="F21" i="2"/>
  <c r="F24" i="2" s="1"/>
  <c r="D21" i="2"/>
  <c r="D24" i="2" s="1"/>
  <c r="B21" i="2"/>
  <c r="B71" i="2" l="1"/>
  <c r="G54" i="2"/>
  <c r="D36" i="2"/>
  <c r="D63" i="2"/>
  <c r="G21" i="2"/>
  <c r="G24" i="2" s="1"/>
  <c r="G40" i="2"/>
  <c r="G46" i="2" s="1"/>
  <c r="F54" i="2"/>
  <c r="F63" i="2" s="1"/>
  <c r="G34" i="2"/>
  <c r="G35" i="2" s="1"/>
  <c r="D71" i="2" l="1"/>
  <c r="F71" i="2"/>
  <c r="G63" i="2"/>
  <c r="G36" i="2"/>
  <c r="F41" i="1" l="1"/>
  <c r="F52" i="1" l="1"/>
  <c r="F27" i="1"/>
  <c r="F33" i="1" s="1"/>
  <c r="F56" i="1"/>
  <c r="F59" i="1" s="1"/>
  <c r="E68" i="1"/>
  <c r="F22" i="1"/>
  <c r="F44" i="1"/>
  <c r="D68" i="1"/>
  <c r="F34" i="1" l="1"/>
  <c r="F60" i="1"/>
  <c r="B68" i="1"/>
  <c r="F68" i="1" l="1"/>
</calcChain>
</file>

<file path=xl/sharedStrings.xml><?xml version="1.0" encoding="utf-8"?>
<sst xmlns="http://schemas.openxmlformats.org/spreadsheetml/2006/main" count="211" uniqueCount="92">
  <si>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</si>
  <si>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</si>
  <si>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</si>
  <si>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</si>
  <si>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</si>
  <si>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</si>
  <si>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</si>
  <si>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</si>
  <si>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</si>
  <si>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</si>
  <si>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</si>
  <si>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</si>
  <si>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</si>
  <si>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</si>
  <si>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</si>
  <si>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</si>
  <si>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</si>
  <si>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</si>
  <si>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</si>
  <si>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</si>
  <si>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</si>
  <si>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</si>
  <si>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</si>
  <si>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</si>
  <si>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</si>
  <si>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</si>
  <si>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</si>
  <si>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</si>
  <si>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</si>
  <si>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</si>
  <si>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</si>
  <si>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</si>
  <si>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</si>
  <si>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</si>
  <si>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</si>
  <si>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</si>
  <si>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</si>
  <si>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</si>
  <si>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</si>
  <si>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</si>
  <si>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</si>
  <si>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</si>
  <si>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</si>
  <si>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</si>
  <si>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</si>
  <si>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</si>
  <si>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</si>
  <si>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</si>
  <si>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</si>
  <si>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</si>
  <si>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</si>
  <si>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</si>
  <si>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</si>
  <si>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</si>
  <si>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</si>
  <si>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</si>
  <si>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</si>
  <si>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</si>
  <si>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</si>
  <si>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</si>
  <si>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</si>
  <si>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</si>
  <si>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</si>
  <si>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</si>
  <si>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</si>
  <si>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</si>
  <si>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</si>
  <si>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</si>
  <si>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</si>
  <si>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</si>
  <si>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</si>
  <si>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</si>
  <si>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</si>
  <si>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</si>
  <si>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</si>
  <si>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</si>
  <si>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</si>
  <si>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</si>
  <si>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</si>
  <si>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</si>
  <si>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</si>
  <si>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</si>
  <si>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</si>
  <si>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</si>
  <si>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>27 MARCH</t>
  </si>
  <si>
    <t>As At 10 APRIL 2013</t>
  </si>
  <si>
    <t>10 APRIL</t>
  </si>
  <si>
    <r>
      <t xml:space="preserve">* </t>
    </r>
    <r>
      <rPr>
        <sz val="12"/>
        <rFont val="Arial Unicode MS"/>
        <family val="2"/>
      </rPr>
      <t>The year to date loss of $14.47bn is included in</t>
    </r>
    <r>
      <rPr>
        <b/>
        <sz val="12"/>
        <rFont val="Arial Unicode MS"/>
        <family val="2"/>
      </rPr>
      <t xml:space="preserve"> Advance and Other GOJ Receivables</t>
    </r>
    <r>
      <rPr>
        <sz val="12"/>
        <rFont val="Arial Unicode MS"/>
        <family val="2"/>
      </rPr>
      <t xml:space="preserve">. This reporting format is </t>
    </r>
  </si>
  <si>
    <r>
      <t xml:space="preserve">   are to be </t>
    </r>
    <r>
      <rPr>
        <b/>
        <sz val="12"/>
        <rFont val="Arial Unicode MS"/>
        <family val="2"/>
      </rPr>
      <t xml:space="preserve">funded by the Government </t>
    </r>
    <r>
      <rPr>
        <sz val="12"/>
        <rFont val="Arial Unicode MS"/>
        <family val="2"/>
      </rPr>
      <t>and profits earned by the Bank are due to the Government</t>
    </r>
    <r>
      <rPr>
        <b/>
        <sz val="12"/>
        <rFont val="Arial Unicode MS"/>
        <family val="2"/>
      </rPr>
      <t>.</t>
    </r>
  </si>
  <si>
    <t>11 APRIL</t>
  </si>
  <si>
    <t>News Release</t>
  </si>
  <si>
    <t>24 April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</si>
</sst>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23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4"/>
      <color indexed="12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37" fontId="0" fillId="2" borderId="0"/>
  </cellStyleXfs>
  <cellXfs count="147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  <xf numFmtId="37" fontId="22" fillId="2" borderId="0" xfId="0" applyNumberFormat="1" applyFont="1" applyFill="1" applyBorder="1"/>
    <xf numFmtId="49" fontId="22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1209675</xdr:colOff>
      <xdr:row>3</xdr:row>
      <xdr:rowOff>200025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showOutlineSymbols="0" zoomScale="75" zoomScaleNormal="75" zoomScaleSheetLayoutView="75" workbookViewId="0">
      <selection activeCell="A72" sqref="A72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6.88671875" customWidth="1"/>
    <col min="7" max="7" width="11.44140625" style="14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 ht="3.75" customHeight="1">
      <c r="A5" s="3"/>
      <c r="B5" s="4"/>
      <c r="C5" s="4"/>
      <c r="D5" s="4"/>
      <c r="F5" s="4"/>
    </row>
    <row r="6" spans="1:6" ht="18.75">
      <c r="A6" s="145" t="s">
        <v>90</v>
      </c>
      <c r="B6" s="4"/>
      <c r="C6" s="4"/>
      <c r="D6" s="4"/>
      <c r="F6" s="4"/>
    </row>
    <row r="7" spans="1:6" ht="18.75">
      <c r="A7" s="146" t="s">
        <v>91</v>
      </c>
      <c r="B7" s="4"/>
      <c r="C7" s="4"/>
      <c r="D7" s="4"/>
      <c r="F7" s="4"/>
    </row>
    <row r="8" spans="1:6">
      <c r="A8" s="3"/>
      <c r="B8" s="4"/>
      <c r="C8" s="4"/>
      <c r="D8" s="4"/>
      <c r="F8" s="4"/>
    </row>
    <row r="9" spans="1:6">
      <c r="A9" s="8"/>
      <c r="B9" s="9"/>
      <c r="C9" s="10"/>
      <c r="D9" s="9"/>
      <c r="E9" s="10"/>
      <c r="F9" s="9"/>
    </row>
    <row r="10" spans="1:6" s="14" customFormat="1" ht="20.25">
      <c r="A10" s="11" t="s">
        <v>1</v>
      </c>
      <c r="B10" s="12"/>
      <c r="C10" s="13"/>
      <c r="D10" s="12"/>
      <c r="E10" s="13"/>
      <c r="F10" s="12"/>
    </row>
    <row r="11" spans="1:6" s="14" customFormat="1" ht="20.25">
      <c r="A11" s="15" t="s">
        <v>2</v>
      </c>
      <c r="B11" s="16"/>
      <c r="C11" s="17"/>
      <c r="D11" s="16"/>
      <c r="E11" s="17"/>
      <c r="F11" s="16"/>
    </row>
    <row r="12" spans="1:6" s="14" customFormat="1" ht="20.25">
      <c r="A12" s="15" t="s">
        <v>85</v>
      </c>
      <c r="B12" s="16"/>
      <c r="C12" s="17"/>
      <c r="D12" s="16"/>
      <c r="E12" s="17"/>
      <c r="F12" s="16"/>
    </row>
    <row r="13" spans="1:6" s="14" customFormat="1">
      <c r="A13" s="18" t="s">
        <v>3</v>
      </c>
      <c r="B13" s="19"/>
      <c r="C13" s="19"/>
      <c r="D13" s="19"/>
      <c r="E13" s="19"/>
      <c r="F13" s="20"/>
    </row>
    <row r="14" spans="1:6" s="14" customFormat="1">
      <c r="A14" s="21"/>
      <c r="B14" s="66">
        <v>2012</v>
      </c>
      <c r="C14" s="22"/>
      <c r="D14" s="66">
        <v>2013</v>
      </c>
      <c r="E14" s="23"/>
      <c r="F14" s="66">
        <v>2013</v>
      </c>
    </row>
    <row r="15" spans="1:6" s="14" customFormat="1">
      <c r="A15" s="21"/>
      <c r="B15" s="67" t="s">
        <v>89</v>
      </c>
      <c r="C15" s="24"/>
      <c r="D15" s="67" t="s">
        <v>84</v>
      </c>
      <c r="E15" s="24"/>
      <c r="F15" s="67" t="s">
        <v>86</v>
      </c>
    </row>
    <row r="16" spans="1:6" s="14" customFormat="1">
      <c r="A16" s="21"/>
      <c r="B16" s="68" t="s">
        <v>5</v>
      </c>
      <c r="C16" s="24"/>
      <c r="D16" s="68" t="s">
        <v>5</v>
      </c>
      <c r="E16" s="24"/>
      <c r="F16" s="68" t="s">
        <v>5</v>
      </c>
    </row>
    <row r="17" spans="1:6" s="14" customFormat="1">
      <c r="A17" s="25" t="s">
        <v>6</v>
      </c>
      <c r="B17" s="69"/>
      <c r="C17" s="26"/>
      <c r="D17" s="69"/>
      <c r="E17" s="26"/>
      <c r="F17" s="69"/>
    </row>
    <row r="18" spans="1:6" s="14" customFormat="1">
      <c r="A18" s="27" t="s">
        <v>7</v>
      </c>
      <c r="B18" s="69"/>
      <c r="C18" s="26"/>
      <c r="D18" s="69"/>
      <c r="E18" s="26"/>
      <c r="F18" s="69"/>
    </row>
    <row r="19" spans="1:6" s="14" customFormat="1">
      <c r="A19" s="21" t="s">
        <v>8</v>
      </c>
      <c r="B19" s="70">
        <f>45802864-28488</f>
        <v>45774376</v>
      </c>
      <c r="C19" s="28"/>
      <c r="D19" s="70">
        <f>38064261-10062</f>
        <v>38054199</v>
      </c>
      <c r="E19" s="28"/>
      <c r="F19" s="70">
        <f>37818392-10238</f>
        <v>37808154</v>
      </c>
    </row>
    <row r="20" spans="1:6" s="14" customFormat="1">
      <c r="A20" s="21" t="s">
        <v>9</v>
      </c>
      <c r="B20" s="70">
        <f>55247+32830236+154495722+13601526+357-45802864+28488</f>
        <v>155208712</v>
      </c>
      <c r="C20" s="28"/>
      <c r="D20" s="70">
        <f>115712+14285643+111220215+15359608+721-38064261+10062</f>
        <v>102927700</v>
      </c>
      <c r="E20" s="28"/>
      <c r="F20" s="70">
        <f>117842+17607213+109353342+15577026+1928-37818392+10238</f>
        <v>104849197</v>
      </c>
    </row>
    <row r="21" spans="1:6" s="14" customFormat="1">
      <c r="A21" s="21" t="s">
        <v>42</v>
      </c>
      <c r="B21" s="70">
        <v>28291198</v>
      </c>
      <c r="C21" s="28"/>
      <c r="D21" s="70">
        <f>26755982+3073</f>
        <v>26759055</v>
      </c>
      <c r="E21" s="28"/>
      <c r="F21" s="70">
        <v>26755982</v>
      </c>
    </row>
    <row r="22" spans="1:6" s="14" customFormat="1">
      <c r="A22" s="27" t="s">
        <v>10</v>
      </c>
      <c r="B22" s="71">
        <f>+B19+B20+B21</f>
        <v>229274286</v>
      </c>
      <c r="C22" s="29"/>
      <c r="D22" s="71">
        <f>+D19+D20+D21</f>
        <v>167740954</v>
      </c>
      <c r="E22" s="29"/>
      <c r="F22" s="71">
        <f>+F19+F20+F21</f>
        <v>169413333</v>
      </c>
    </row>
    <row r="23" spans="1:6" s="14" customFormat="1">
      <c r="A23" s="21"/>
      <c r="B23" s="70"/>
      <c r="C23" s="28"/>
      <c r="D23" s="70"/>
      <c r="E23" s="28"/>
      <c r="F23" s="70"/>
    </row>
    <row r="24" spans="1:6" s="14" customFormat="1">
      <c r="A24" s="27" t="s">
        <v>11</v>
      </c>
      <c r="B24" s="70"/>
      <c r="C24" s="28"/>
      <c r="D24" s="70"/>
      <c r="E24" s="28"/>
      <c r="F24" s="70"/>
    </row>
    <row r="25" spans="1:6" s="14" customFormat="1">
      <c r="A25" s="21" t="s">
        <v>12</v>
      </c>
      <c r="B25" s="70" t="s">
        <v>13</v>
      </c>
      <c r="C25" s="28"/>
      <c r="D25" s="70" t="s">
        <v>13</v>
      </c>
      <c r="E25" s="28"/>
      <c r="F25" s="70" t="s">
        <v>13</v>
      </c>
    </row>
    <row r="26" spans="1:6" s="14" customFormat="1">
      <c r="A26" s="21" t="s">
        <v>44</v>
      </c>
      <c r="B26" s="70">
        <f>359+92690161</f>
        <v>92690520</v>
      </c>
      <c r="C26" s="28"/>
      <c r="D26" s="70">
        <f>2915+99667482</f>
        <v>99670397</v>
      </c>
      <c r="E26" s="28"/>
      <c r="F26" s="70">
        <f>2923+99667482</f>
        <v>99670405</v>
      </c>
    </row>
    <row r="27" spans="1:6" s="14" customFormat="1" hidden="1">
      <c r="A27" s="21" t="s">
        <v>14</v>
      </c>
      <c r="B27" s="70">
        <f>0</f>
        <v>0</v>
      </c>
      <c r="C27" s="28"/>
      <c r="D27" s="70">
        <f>0</f>
        <v>0</v>
      </c>
      <c r="E27" s="28"/>
      <c r="F27" s="70">
        <f>0</f>
        <v>0</v>
      </c>
    </row>
    <row r="28" spans="1:6" s="14" customFormat="1" hidden="1">
      <c r="A28" s="21" t="s">
        <v>15</v>
      </c>
      <c r="B28" s="70">
        <v>0</v>
      </c>
      <c r="C28" s="28"/>
      <c r="D28" s="70">
        <v>0</v>
      </c>
      <c r="E28" s="28"/>
      <c r="F28" s="70">
        <v>0</v>
      </c>
    </row>
    <row r="29" spans="1:6" s="14" customFormat="1">
      <c r="A29" s="21" t="s">
        <v>48</v>
      </c>
      <c r="B29" s="72">
        <v>13369262</v>
      </c>
      <c r="C29" s="47"/>
      <c r="D29" s="72">
        <f>9682205+14753564+63125</f>
        <v>24498894</v>
      </c>
      <c r="E29" s="28"/>
      <c r="F29" s="72">
        <f>9714219+14470859</f>
        <v>24185078</v>
      </c>
    </row>
    <row r="30" spans="1:6" s="14" customFormat="1" ht="17.25" hidden="1" customHeight="1">
      <c r="A30" s="21" t="s">
        <v>16</v>
      </c>
      <c r="B30" s="70">
        <v>0</v>
      </c>
      <c r="C30" s="30"/>
      <c r="D30" s="70">
        <v>0</v>
      </c>
      <c r="E30" s="31"/>
      <c r="F30" s="70">
        <v>0</v>
      </c>
    </row>
    <row r="31" spans="1:6" s="14" customFormat="1" hidden="1">
      <c r="A31" s="21" t="s">
        <v>17</v>
      </c>
      <c r="B31" s="70">
        <v>0</v>
      </c>
      <c r="C31" s="28"/>
      <c r="D31" s="70">
        <v>0</v>
      </c>
      <c r="E31" s="28"/>
      <c r="F31" s="70">
        <v>0</v>
      </c>
    </row>
    <row r="32" spans="1:6" s="14" customFormat="1">
      <c r="A32" s="21" t="s">
        <v>18</v>
      </c>
      <c r="B32" s="73">
        <f>106234+4315897+3472038+1158+3351827+11123169+2734839+10</f>
        <v>25105172</v>
      </c>
      <c r="C32" s="28"/>
      <c r="D32" s="73">
        <f>70578+4428859+3305548+1071+3443125+13408290+205+207979</f>
        <v>24865655</v>
      </c>
      <c r="E32" s="28"/>
      <c r="F32" s="73">
        <f>98356+4206706+3371320+1072+3799193+13723912-25781+2</f>
        <v>25174780</v>
      </c>
    </row>
    <row r="33" spans="1:6" s="14" customFormat="1">
      <c r="A33" s="27" t="s">
        <v>19</v>
      </c>
      <c r="B33" s="74">
        <f>SUM(B26:B32)</f>
        <v>131164954</v>
      </c>
      <c r="C33" s="32"/>
      <c r="D33" s="74">
        <f>SUM(D26:D32)</f>
        <v>149034946</v>
      </c>
      <c r="E33" s="32"/>
      <c r="F33" s="74">
        <f>SUM(F26:F32)</f>
        <v>149030263</v>
      </c>
    </row>
    <row r="34" spans="1:6" s="14" customFormat="1" ht="18" thickBot="1">
      <c r="A34" s="25" t="s">
        <v>20</v>
      </c>
      <c r="B34" s="75">
        <f>+B33+B22</f>
        <v>360439240</v>
      </c>
      <c r="C34" s="32"/>
      <c r="D34" s="75">
        <f>+D33+D22</f>
        <v>316775900</v>
      </c>
      <c r="E34" s="32"/>
      <c r="F34" s="75">
        <f>+F33+F22</f>
        <v>318443596</v>
      </c>
    </row>
    <row r="35" spans="1:6" s="14" customFormat="1" ht="18" thickTop="1">
      <c r="A35" s="21"/>
      <c r="B35" s="70"/>
      <c r="C35" s="28"/>
      <c r="D35" s="70"/>
      <c r="E35" s="28"/>
      <c r="F35" s="70"/>
    </row>
    <row r="36" spans="1:6" s="14" customFormat="1">
      <c r="A36" s="25" t="s">
        <v>21</v>
      </c>
      <c r="B36" s="70"/>
      <c r="C36" s="28"/>
      <c r="D36" s="70"/>
      <c r="E36" s="28"/>
      <c r="F36" s="70"/>
    </row>
    <row r="37" spans="1:6" s="14" customFormat="1">
      <c r="A37" s="27" t="s">
        <v>22</v>
      </c>
      <c r="B37" s="76"/>
      <c r="C37" s="28"/>
      <c r="D37" s="76"/>
      <c r="E37" s="28"/>
      <c r="F37" s="76"/>
    </row>
    <row r="38" spans="1:6" s="14" customFormat="1">
      <c r="A38" s="21" t="s">
        <v>23</v>
      </c>
      <c r="B38" s="70">
        <f>53606267+2401621</f>
        <v>56007888</v>
      </c>
      <c r="C38" s="28"/>
      <c r="D38" s="70">
        <f>55528346+2665063-70466</f>
        <v>58122943</v>
      </c>
      <c r="E38" s="28"/>
      <c r="F38" s="70">
        <f>53825287+2610516</f>
        <v>56435803</v>
      </c>
    </row>
    <row r="39" spans="1:6" s="14" customFormat="1">
      <c r="A39" s="21" t="s">
        <v>24</v>
      </c>
      <c r="B39" s="76"/>
      <c r="C39" s="28"/>
      <c r="D39" s="76"/>
      <c r="E39" s="28"/>
      <c r="F39" s="76"/>
    </row>
    <row r="40" spans="1:6" s="14" customFormat="1">
      <c r="A40" s="21" t="s">
        <v>25</v>
      </c>
      <c r="B40" s="70">
        <f>12892519+29108+3537+8792892</f>
        <v>21718056</v>
      </c>
      <c r="C40" s="28"/>
      <c r="D40" s="70">
        <f>18392517+31989+373549+1003378</f>
        <v>19801433</v>
      </c>
      <c r="E40" s="28"/>
      <c r="F40" s="70">
        <f>24052206+33164+374274+1781300</f>
        <v>26240944</v>
      </c>
    </row>
    <row r="41" spans="1:6" s="14" customFormat="1">
      <c r="A41" s="21" t="s">
        <v>26</v>
      </c>
      <c r="B41" s="70">
        <f>57448234+17774391+6929</f>
        <v>75229554</v>
      </c>
      <c r="C41" s="28"/>
      <c r="D41" s="70">
        <f>55994129+17324493+6754</f>
        <v>73325376</v>
      </c>
      <c r="E41" s="28"/>
      <c r="F41" s="70">
        <f>55994129+17324493+6754</f>
        <v>73325376</v>
      </c>
    </row>
    <row r="42" spans="1:6" s="14" customFormat="1">
      <c r="A42" s="21" t="s">
        <v>27</v>
      </c>
      <c r="B42" s="70">
        <f>51890500-4195000</f>
        <v>47695500</v>
      </c>
      <c r="C42" s="28"/>
      <c r="D42" s="70">
        <f>66665720-11141000</f>
        <v>55524720</v>
      </c>
      <c r="E42" s="28"/>
      <c r="F42" s="70">
        <f>65982667-3089000-3373750</f>
        <v>59519917</v>
      </c>
    </row>
    <row r="43" spans="1:6" s="14" customFormat="1">
      <c r="A43" s="21" t="s">
        <v>28</v>
      </c>
      <c r="B43" s="70">
        <f>187130265-29108-101030805-3537-8792892-57448234-17774391-6929</f>
        <v>2044369</v>
      </c>
      <c r="C43" s="28"/>
      <c r="D43" s="70">
        <f>120384459-31989-43000906-373549-1003378-55994129-17324493-6754-5617</f>
        <v>2643644</v>
      </c>
      <c r="E43" s="28"/>
      <c r="F43" s="70">
        <f>117476538-33164-39265555-374274-1781300-55994129-17324493-6754</f>
        <v>2696869</v>
      </c>
    </row>
    <row r="44" spans="1:6" s="14" customFormat="1">
      <c r="A44" s="27" t="s">
        <v>29</v>
      </c>
      <c r="B44" s="74">
        <f>SUM(B38:B43)</f>
        <v>202695367</v>
      </c>
      <c r="C44" s="32"/>
      <c r="D44" s="74">
        <f>SUM(D38:D43)</f>
        <v>209418116</v>
      </c>
      <c r="E44" s="32"/>
      <c r="F44" s="74">
        <f>SUM(F38:F43)</f>
        <v>218218909</v>
      </c>
    </row>
    <row r="45" spans="1:6" s="14" customFormat="1">
      <c r="A45" s="33"/>
      <c r="B45" s="70"/>
      <c r="C45" s="28"/>
      <c r="D45" s="70"/>
      <c r="E45" s="28"/>
      <c r="F45" s="70"/>
    </row>
    <row r="46" spans="1:6" s="14" customFormat="1">
      <c r="A46" s="27" t="s">
        <v>30</v>
      </c>
      <c r="B46" s="70"/>
      <c r="C46" s="28"/>
      <c r="D46" s="70"/>
      <c r="E46" s="28"/>
      <c r="F46" s="70"/>
    </row>
    <row r="47" spans="1:6" s="14" customFormat="1">
      <c r="A47" s="21" t="s">
        <v>43</v>
      </c>
      <c r="B47" s="70">
        <f>36280382</f>
        <v>36280382</v>
      </c>
      <c r="C47" s="28"/>
      <c r="D47" s="70">
        <v>35362449</v>
      </c>
      <c r="E47" s="28"/>
      <c r="F47" s="70">
        <v>35362449</v>
      </c>
    </row>
    <row r="48" spans="1:6" s="14" customFormat="1">
      <c r="A48" s="21" t="s">
        <v>31</v>
      </c>
      <c r="B48" s="70">
        <f>165069+2565</f>
        <v>167634</v>
      </c>
      <c r="C48" s="28"/>
      <c r="D48" s="70">
        <f>87973+29607-2595</f>
        <v>114985</v>
      </c>
      <c r="E48" s="28"/>
      <c r="F48" s="70">
        <f>141050+2325</f>
        <v>143375</v>
      </c>
    </row>
    <row r="49" spans="1:6" s="14" customFormat="1">
      <c r="A49" s="21" t="s">
        <v>32</v>
      </c>
      <c r="B49" s="70">
        <f>4195000+101030805</f>
        <v>105225805</v>
      </c>
      <c r="C49" s="28"/>
      <c r="D49" s="70">
        <f>11141000+43000906</f>
        <v>54141906</v>
      </c>
      <c r="E49" s="28"/>
      <c r="F49" s="70">
        <f>3089000+39265555+3373750</f>
        <v>45728305</v>
      </c>
    </row>
    <row r="50" spans="1:6" s="14" customFormat="1">
      <c r="A50" s="21" t="s">
        <v>49</v>
      </c>
      <c r="B50" s="72">
        <v>470768</v>
      </c>
      <c r="C50" s="28"/>
      <c r="D50" s="72">
        <f>14753564-14753564</f>
        <v>0</v>
      </c>
      <c r="E50" s="28"/>
      <c r="F50" s="72">
        <f>-14470859+14470859</f>
        <v>0</v>
      </c>
    </row>
    <row r="51" spans="1:6" s="14" customFormat="1">
      <c r="A51" s="21" t="s">
        <v>33</v>
      </c>
      <c r="B51" s="70">
        <f>495763+2108999</f>
        <v>2604762</v>
      </c>
      <c r="C51" s="28"/>
      <c r="D51" s="70">
        <f>298769+2034180+7225574+2-140211</f>
        <v>9418314</v>
      </c>
      <c r="E51" s="32"/>
      <c r="F51" s="70">
        <f>276204+2109895+8284329</f>
        <v>10670428</v>
      </c>
    </row>
    <row r="52" spans="1:6" s="14" customFormat="1">
      <c r="A52" s="27" t="s">
        <v>34</v>
      </c>
      <c r="B52" s="74">
        <f>SUM(B47:B51)</f>
        <v>144749351</v>
      </c>
      <c r="C52" s="32"/>
      <c r="D52" s="74">
        <f>SUM(D47:D51)</f>
        <v>99037654</v>
      </c>
      <c r="E52" s="28"/>
      <c r="F52" s="74">
        <f>SUM(F47:F51)</f>
        <v>91904557</v>
      </c>
    </row>
    <row r="53" spans="1:6" s="14" customFormat="1">
      <c r="A53" s="21"/>
      <c r="B53" s="70"/>
      <c r="C53" s="28"/>
      <c r="D53" s="70"/>
      <c r="E53" s="28"/>
      <c r="F53" s="70"/>
    </row>
    <row r="54" spans="1:6" s="14" customFormat="1">
      <c r="A54" s="27" t="s">
        <v>35</v>
      </c>
      <c r="B54" s="70"/>
      <c r="C54" s="28"/>
      <c r="D54" s="70"/>
      <c r="E54" s="28"/>
      <c r="F54" s="70"/>
    </row>
    <row r="55" spans="1:6" s="14" customFormat="1">
      <c r="A55" s="21" t="s">
        <v>36</v>
      </c>
      <c r="B55" s="70"/>
      <c r="C55" s="28"/>
      <c r="D55" s="70"/>
      <c r="E55" s="28"/>
      <c r="F55" s="70"/>
    </row>
    <row r="56" spans="1:6" s="14" customFormat="1">
      <c r="A56" s="21" t="s">
        <v>37</v>
      </c>
      <c r="B56" s="70">
        <f>4000</f>
        <v>4000</v>
      </c>
      <c r="C56" s="28"/>
      <c r="D56" s="70">
        <f>4000</f>
        <v>4000</v>
      </c>
      <c r="E56" s="28"/>
      <c r="F56" s="70">
        <f>4000</f>
        <v>4000</v>
      </c>
    </row>
    <row r="57" spans="1:6" s="14" customFormat="1">
      <c r="A57" s="21" t="s">
        <v>38</v>
      </c>
      <c r="B57" s="70">
        <v>20000</v>
      </c>
      <c r="C57" s="28"/>
      <c r="D57" s="70">
        <v>20000</v>
      </c>
      <c r="E57" s="28"/>
      <c r="F57" s="70">
        <v>20000</v>
      </c>
    </row>
    <row r="58" spans="1:6" s="14" customFormat="1">
      <c r="A58" s="21" t="s">
        <v>39</v>
      </c>
      <c r="B58" s="73">
        <v>12970522</v>
      </c>
      <c r="C58" s="28"/>
      <c r="D58" s="73">
        <f>7803064+493066</f>
        <v>8296130</v>
      </c>
      <c r="E58" s="28"/>
      <c r="F58" s="73">
        <v>8296130</v>
      </c>
    </row>
    <row r="59" spans="1:6" s="14" customFormat="1">
      <c r="A59" s="27" t="s">
        <v>40</v>
      </c>
      <c r="B59" s="77">
        <f>SUM(B56:B58)</f>
        <v>12994522</v>
      </c>
      <c r="C59" s="32"/>
      <c r="D59" s="77">
        <f>SUM(D56:D58)</f>
        <v>8320130</v>
      </c>
      <c r="E59" s="32"/>
      <c r="F59" s="77">
        <f>SUM(F56:F58)</f>
        <v>8320130</v>
      </c>
    </row>
    <row r="60" spans="1:6" s="14" customFormat="1" ht="18" thickBot="1">
      <c r="A60" s="34" t="s">
        <v>41</v>
      </c>
      <c r="B60" s="78">
        <f>B44+B52+B59</f>
        <v>360439240</v>
      </c>
      <c r="C60" s="35"/>
      <c r="D60" s="78">
        <f>D44+D52+D59</f>
        <v>316775900</v>
      </c>
      <c r="E60" s="36"/>
      <c r="F60" s="78">
        <f>F44+F52+F59</f>
        <v>318443596</v>
      </c>
    </row>
    <row r="61" spans="1:6" s="14" customFormat="1" ht="18" thickTop="1">
      <c r="A61" s="21"/>
      <c r="B61" s="46"/>
      <c r="C61" s="26"/>
      <c r="D61" s="37"/>
      <c r="E61" s="37"/>
      <c r="F61" s="38"/>
    </row>
    <row r="62" spans="1:6" s="14" customFormat="1" ht="15" customHeight="1">
      <c r="A62" s="18"/>
      <c r="B62" s="19"/>
      <c r="C62" s="39"/>
      <c r="D62" s="19"/>
      <c r="E62" s="39"/>
      <c r="F62" s="20"/>
    </row>
    <row r="63" spans="1:6" s="14" customFormat="1" ht="19.5" customHeight="1">
      <c r="A63" s="49" t="s">
        <v>46</v>
      </c>
      <c r="B63" s="26"/>
      <c r="C63" s="50"/>
      <c r="D63" s="51"/>
      <c r="E63" s="51"/>
      <c r="F63" s="52"/>
    </row>
    <row r="64" spans="1:6" s="14" customFormat="1">
      <c r="A64" s="48" t="s">
        <v>87</v>
      </c>
      <c r="B64" s="40"/>
      <c r="C64" s="41"/>
      <c r="D64" s="42"/>
      <c r="E64" s="40"/>
      <c r="F64" s="42"/>
    </row>
    <row r="65" spans="1:8" s="14" customFormat="1">
      <c r="A65" s="21" t="s">
        <v>45</v>
      </c>
      <c r="B65" s="26"/>
      <c r="C65" s="26"/>
      <c r="D65" s="43"/>
      <c r="E65" s="26"/>
      <c r="F65" s="43"/>
      <c r="G65" s="26"/>
      <c r="H65" s="26"/>
    </row>
    <row r="66" spans="1:8" s="14" customFormat="1">
      <c r="A66" s="18" t="s">
        <v>88</v>
      </c>
      <c r="B66" s="44"/>
      <c r="C66" s="44"/>
      <c r="D66" s="44"/>
      <c r="E66" s="44"/>
      <c r="F66" s="45"/>
    </row>
    <row r="68" spans="1:8" hidden="1">
      <c r="B68">
        <f>B60-B34</f>
        <v>0</v>
      </c>
      <c r="D68">
        <f>D60-D34</f>
        <v>0</v>
      </c>
      <c r="E68" s="4">
        <f>E60-E34</f>
        <v>0</v>
      </c>
      <c r="F68">
        <f>F60-F34</f>
        <v>0</v>
      </c>
    </row>
  </sheetData>
  <sheetProtection sheet="1" objects="1" scenarios="1"/>
  <phoneticPr fontId="0" type="noConversion"/>
  <printOptions horizontalCentered="1" verticalCentered="1"/>
  <pageMargins left="0.5" right="0.5" top="0" bottom="0" header="0.25" footer="0.25"/>
  <pageSetup scale="65" orientation="portrait" r:id="rId1"/>
  <headerFooter alignWithMargins="0">
    <oddHeader>&amp;CSCHEDULE 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143" t="s">
        <v>57</v>
      </c>
      <c r="B2" s="143"/>
      <c r="C2" s="143"/>
      <c r="D2" s="143"/>
      <c r="E2" s="144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 t="shared" ref="E37" si="0"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balance sheet - 10 April 2013</vt:lpstr>
      <vt:lpstr>DEFERRED FRAN NOTES CHRG TO RES</vt:lpstr>
      <vt:lpstr>DEFERRED FRAN NOTES CHRG TO P&amp;L</vt:lpstr>
      <vt:lpstr>P&amp;L-DEFERRED FRAN NOTES CHRG </vt:lpstr>
      <vt:lpstr>'balance sheet - 10 April 2013'!Print_Area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2013-04-22T21:22:34Z</cp:lastPrinted>
  <dcterms:created xsi:type="dcterms:W3CDTF">2009-02-04T22:27:27Z</dcterms:created>
  <dcterms:modified xsi:type="dcterms:W3CDTF">2013-04-24T18:40:09Z</dcterms:modified>
</cp:coreProperties>
</file>