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55" windowWidth="15480" windowHeight="10860"/>
  </bookViews>
  <sheets>
    <sheet name="Balance Sheet - 08 May 2013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- 08 May 2013'!$A$9:$F$65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- 08 May 2013'!$A$8:$F$61</definedName>
  </definedNames>
  <calcPr calcId="145621"/>
</workbook>
</file>

<file path=xl/calcChain.xml><?xml version="1.0" encoding="utf-8"?>
<calcChain xmlns="http://schemas.openxmlformats.org/spreadsheetml/2006/main">
  <c r="F48" i="1" l="1"/>
  <c r="F41" i="1"/>
  <c r="F28" i="1"/>
  <c r="F49" i="1"/>
  <c r="B55" i="1"/>
  <c r="B58" i="1" s="1"/>
  <c r="B50" i="1"/>
  <c r="B48" i="1"/>
  <c r="B47" i="1"/>
  <c r="B46" i="1"/>
  <c r="B42" i="1"/>
  <c r="B41" i="1"/>
  <c r="B40" i="1"/>
  <c r="B39" i="1"/>
  <c r="B37" i="1"/>
  <c r="B31" i="1"/>
  <c r="B26" i="1"/>
  <c r="B25" i="1"/>
  <c r="B19" i="1"/>
  <c r="B18" i="1"/>
  <c r="B21" i="1" s="1"/>
  <c r="B51" i="1" l="1"/>
  <c r="B43" i="1"/>
  <c r="B59" i="1" s="1"/>
  <c r="B32" i="1"/>
  <c r="B33" i="1"/>
  <c r="F42" i="1" l="1"/>
  <c r="F40" i="1"/>
  <c r="F50" i="1" l="1"/>
  <c r="F47" i="1"/>
  <c r="F39" i="1"/>
  <c r="F37" i="1"/>
  <c r="F31" i="1"/>
  <c r="F25" i="1"/>
  <c r="F19" i="1"/>
  <c r="F18" i="1"/>
  <c r="D55" i="1"/>
  <c r="D58" i="1" s="1"/>
  <c r="D50" i="1"/>
  <c r="D49" i="1"/>
  <c r="D48" i="1"/>
  <c r="D47" i="1"/>
  <c r="D42" i="1"/>
  <c r="D41" i="1"/>
  <c r="D40" i="1"/>
  <c r="D39" i="1"/>
  <c r="D37" i="1"/>
  <c r="D31" i="1"/>
  <c r="D28" i="1"/>
  <c r="D26" i="1"/>
  <c r="D25" i="1"/>
  <c r="D19" i="1"/>
  <c r="D18" i="1"/>
  <c r="D51" i="1" l="1"/>
  <c r="D21" i="1"/>
  <c r="D32" i="1"/>
  <c r="D43" i="1"/>
  <c r="D59" i="1" s="1"/>
  <c r="D33" i="1" l="1"/>
  <c r="E39" i="4"/>
  <c r="E35" i="4"/>
  <c r="C31" i="4"/>
  <c r="D29" i="4"/>
  <c r="E29" i="4" s="1"/>
  <c r="D28" i="4"/>
  <c r="E28" i="4" s="1"/>
  <c r="D27" i="4"/>
  <c r="E27" i="4" s="1"/>
  <c r="D26" i="4"/>
  <c r="C22" i="4"/>
  <c r="C33" i="4" s="1"/>
  <c r="D20" i="4"/>
  <c r="E20" i="4" s="1"/>
  <c r="D19" i="4"/>
  <c r="E19" i="4" s="1"/>
  <c r="D18" i="4"/>
  <c r="E18" i="4" s="1"/>
  <c r="D17" i="4"/>
  <c r="D31" i="4" l="1"/>
  <c r="D22" i="4"/>
  <c r="C41" i="4"/>
  <c r="C37" i="4"/>
  <c r="E17" i="4"/>
  <c r="E22" i="4" s="1"/>
  <c r="E26" i="4"/>
  <c r="E31" i="4" s="1"/>
  <c r="D33" i="4" l="1"/>
  <c r="D41" i="4" s="1"/>
  <c r="E33" i="4"/>
  <c r="E41" i="4" s="1"/>
  <c r="D37" i="4" l="1"/>
  <c r="E37" i="4" s="1"/>
  <c r="F61" i="3"/>
  <c r="G60" i="3"/>
  <c r="G59" i="3"/>
  <c r="F58" i="3"/>
  <c r="G58" i="3" s="1"/>
  <c r="G61" i="3" s="1"/>
  <c r="D58" i="3"/>
  <c r="D61" i="3" s="1"/>
  <c r="B58" i="3"/>
  <c r="B61" i="3" s="1"/>
  <c r="F53" i="3"/>
  <c r="G53" i="3" s="1"/>
  <c r="D53" i="3"/>
  <c r="D54" i="3" s="1"/>
  <c r="B53" i="3"/>
  <c r="F52" i="3"/>
  <c r="G52" i="3" s="1"/>
  <c r="G51" i="3"/>
  <c r="F51" i="3"/>
  <c r="D51" i="3"/>
  <c r="B51" i="3"/>
  <c r="F50" i="3"/>
  <c r="F54" i="3" s="1"/>
  <c r="D50" i="3"/>
  <c r="B50" i="3"/>
  <c r="G49" i="3"/>
  <c r="B49" i="3"/>
  <c r="B54" i="3" s="1"/>
  <c r="B46" i="3"/>
  <c r="B62" i="3" s="1"/>
  <c r="F45" i="3"/>
  <c r="G45" i="3" s="1"/>
  <c r="D45" i="3"/>
  <c r="B45" i="3"/>
  <c r="F44" i="3"/>
  <c r="G44" i="3" s="1"/>
  <c r="D44" i="3"/>
  <c r="D46" i="3" s="1"/>
  <c r="B44" i="3"/>
  <c r="F43" i="3"/>
  <c r="G43" i="3" s="1"/>
  <c r="D43" i="3"/>
  <c r="B43" i="3"/>
  <c r="H42" i="3"/>
  <c r="H43" i="3" s="1"/>
  <c r="F42" i="3"/>
  <c r="F46" i="3" s="1"/>
  <c r="F62" i="3" s="1"/>
  <c r="D42" i="3"/>
  <c r="B42" i="3"/>
  <c r="G40" i="3"/>
  <c r="F40" i="3"/>
  <c r="D40" i="3"/>
  <c r="B40" i="3"/>
  <c r="F34" i="3"/>
  <c r="G34" i="3" s="1"/>
  <c r="D34" i="3"/>
  <c r="B34" i="3"/>
  <c r="G33" i="3"/>
  <c r="G32" i="3"/>
  <c r="F31" i="3"/>
  <c r="G31" i="3" s="1"/>
  <c r="D31" i="3"/>
  <c r="B31" i="3"/>
  <c r="B35" i="3" s="1"/>
  <c r="B36" i="3" s="1"/>
  <c r="G30" i="3"/>
  <c r="F29" i="3"/>
  <c r="G29" i="3" s="1"/>
  <c r="D29" i="3"/>
  <c r="B29" i="3"/>
  <c r="F28" i="3"/>
  <c r="F35" i="3" s="1"/>
  <c r="D28" i="3"/>
  <c r="D35" i="3" s="1"/>
  <c r="B28" i="3"/>
  <c r="G23" i="3"/>
  <c r="F22" i="3"/>
  <c r="F24" i="3" s="1"/>
  <c r="D22" i="3"/>
  <c r="B22" i="3"/>
  <c r="G21" i="3"/>
  <c r="F21" i="3"/>
  <c r="D21" i="3"/>
  <c r="D24" i="3" s="1"/>
  <c r="B21" i="3"/>
  <c r="B24" i="3" s="1"/>
  <c r="G62" i="3" l="1"/>
  <c r="B70" i="3"/>
  <c r="D36" i="3"/>
  <c r="F36" i="3"/>
  <c r="G46" i="3"/>
  <c r="D62" i="3"/>
  <c r="G22" i="3"/>
  <c r="G24" i="3" s="1"/>
  <c r="G42" i="3"/>
  <c r="G50" i="3"/>
  <c r="G54" i="3" s="1"/>
  <c r="G28" i="3"/>
  <c r="G35" i="3" s="1"/>
  <c r="G36" i="3" l="1"/>
  <c r="D70" i="3"/>
  <c r="F70" i="3"/>
  <c r="F62" i="2" l="1"/>
  <c r="D62" i="2"/>
  <c r="G61" i="2"/>
  <c r="G60" i="2"/>
  <c r="G59" i="2"/>
  <c r="F58" i="2"/>
  <c r="G58" i="2" s="1"/>
  <c r="G62" i="2" s="1"/>
  <c r="D58" i="2"/>
  <c r="B58" i="2"/>
  <c r="B62" i="2" s="1"/>
  <c r="F53" i="2"/>
  <c r="G53" i="2" s="1"/>
  <c r="D53" i="2"/>
  <c r="B53" i="2"/>
  <c r="G52" i="2"/>
  <c r="F51" i="2"/>
  <c r="G51" i="2" s="1"/>
  <c r="D51" i="2"/>
  <c r="B51" i="2"/>
  <c r="F50" i="2"/>
  <c r="G50" i="2" s="1"/>
  <c r="D50" i="2"/>
  <c r="D54" i="2" s="1"/>
  <c r="B50" i="2"/>
  <c r="G49" i="2"/>
  <c r="B49" i="2"/>
  <c r="B54" i="2" s="1"/>
  <c r="B46" i="2"/>
  <c r="B63" i="2" s="1"/>
  <c r="G45" i="2"/>
  <c r="F45" i="2"/>
  <c r="D45" i="2"/>
  <c r="B45" i="2"/>
  <c r="G44" i="2"/>
  <c r="F44" i="2"/>
  <c r="D44" i="2"/>
  <c r="B44" i="2"/>
  <c r="H43" i="2"/>
  <c r="F43" i="2"/>
  <c r="G43" i="2" s="1"/>
  <c r="D43" i="2"/>
  <c r="B43" i="2"/>
  <c r="H42" i="2"/>
  <c r="F42" i="2"/>
  <c r="G42" i="2" s="1"/>
  <c r="D42" i="2"/>
  <c r="B42" i="2"/>
  <c r="F40" i="2"/>
  <c r="F46" i="2" s="1"/>
  <c r="D40" i="2"/>
  <c r="D46" i="2" s="1"/>
  <c r="B40" i="2"/>
  <c r="F34" i="2"/>
  <c r="F35" i="2" s="1"/>
  <c r="F36" i="2" s="1"/>
  <c r="D34" i="2"/>
  <c r="B34" i="2"/>
  <c r="G33" i="2"/>
  <c r="G32" i="2"/>
  <c r="G31" i="2"/>
  <c r="F31" i="2"/>
  <c r="D31" i="2"/>
  <c r="B31" i="2"/>
  <c r="G30" i="2"/>
  <c r="F29" i="2"/>
  <c r="G29" i="2" s="1"/>
  <c r="D29" i="2"/>
  <c r="B29" i="2"/>
  <c r="F28" i="2"/>
  <c r="G28" i="2" s="1"/>
  <c r="D28" i="2"/>
  <c r="D35" i="2" s="1"/>
  <c r="B28" i="2"/>
  <c r="B35" i="2" s="1"/>
  <c r="B36" i="2" s="1"/>
  <c r="B24" i="2"/>
  <c r="G23" i="2"/>
  <c r="F22" i="2"/>
  <c r="G22" i="2" s="1"/>
  <c r="D22" i="2"/>
  <c r="B22" i="2"/>
  <c r="F21" i="2"/>
  <c r="F24" i="2" s="1"/>
  <c r="D21" i="2"/>
  <c r="D24" i="2" s="1"/>
  <c r="B21" i="2"/>
  <c r="B71" i="2" l="1"/>
  <c r="G54" i="2"/>
  <c r="D36" i="2"/>
  <c r="D63" i="2"/>
  <c r="G21" i="2"/>
  <c r="G24" i="2" s="1"/>
  <c r="G40" i="2"/>
  <c r="G46" i="2" s="1"/>
  <c r="F54" i="2"/>
  <c r="F63" i="2" s="1"/>
  <c r="G34" i="2"/>
  <c r="G35" i="2" s="1"/>
  <c r="D71" i="2" l="1"/>
  <c r="F71" i="2"/>
  <c r="G63" i="2"/>
  <c r="G36" i="2"/>
  <c r="F51" i="1" l="1"/>
  <c r="F26" i="1"/>
  <c r="F32" i="1" s="1"/>
  <c r="F55" i="1"/>
  <c r="F58" i="1"/>
  <c r="E67" i="1"/>
  <c r="F21" i="1"/>
  <c r="F43" i="1"/>
  <c r="D67" i="1"/>
  <c r="F33" i="1" l="1"/>
  <c r="F59" i="1"/>
  <c r="B67" i="1"/>
  <c r="F67" i="1" l="1"/>
</calcChain>
</file>

<file path=xl/sharedStrings.xml><?xml version="1.0" encoding="utf-8"?>
<sst xmlns="http://schemas.openxmlformats.org/spreadsheetml/2006/main" count="211" uniqueCount="92">
  <si>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</si>
  <si>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</si>
  <si>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</si>
  <si>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</si>
  <si>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</si>
  <si>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</si>
  <si>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</si>
  <si>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</si>
  <si>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</si>
  <si>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</si>
  <si>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</si>
  <si>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</si>
  <si>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</si>
  <si>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</si>
  <si>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</si>
  <si>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</si>
  <si>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</si>
  <si>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</si>
  <si>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</si>
  <si>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</si>
  <si>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</si>
  <si>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</si>
  <si>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</si>
  <si>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</si>
  <si>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</si>
  <si>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</si>
  <si>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</si>
  <si>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</si>
  <si>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</si>
  <si>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</si>
  <si>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</si>
  <si>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</si>
  <si>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</si>
  <si>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</si>
  <si>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</si>
  <si>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</si>
  <si>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</si>
  <si>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</si>
  <si>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</si>
  <si>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</si>
  <si>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</si>
  <si>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</si>
  <si>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</si>
  <si>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</si>
  <si>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</si>
  <si>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</si>
  <si>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</si>
  <si>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</si>
  <si>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</si>
  <si>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</si>
  <si>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</si>
  <si>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</si>
  <si>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</si>
  <si>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</si>
  <si>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</si>
  <si>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</si>
  <si>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</si>
  <si>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</si>
  <si>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</si>
  <si>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</si>
  <si>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</si>
  <si>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</si>
  <si>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</si>
  <si>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</si>
  <si>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</si>
  <si>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</si>
  <si>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</si>
  <si>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</si>
  <si>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</si>
  <si>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</si>
  <si>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</si>
  <si>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</si>
  <si>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</si>
  <si>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</si>
  <si>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</si>
  <si>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</si>
  <si>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</si>
  <si>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</si>
  <si>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</si>
  <si>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</si>
  <si>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</si>
  <si>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</si>
  <si>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</si>
  <si>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</si>
  <si>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</si>
  <si>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t>24 APRIL</t>
  </si>
  <si>
    <t>As At 08 MAY 2013</t>
  </si>
  <si>
    <t>09 MAY</t>
  </si>
  <si>
    <t>08 MAY</t>
  </si>
  <si>
    <t>News Release</t>
  </si>
  <si>
    <t>22 May 2013</t>
  </si>
  <si>
    <r>
      <t xml:space="preserve">* </t>
    </r>
    <r>
      <rPr>
        <sz val="12"/>
        <rFont val="Arial Unicode MS"/>
        <family val="2"/>
      </rPr>
      <t>The year-to-date loss of $15.66bn is included in</t>
    </r>
    <r>
      <rPr>
        <b/>
        <sz val="12"/>
        <rFont val="Arial Unicode MS"/>
        <family val="2"/>
      </rPr>
      <t xml:space="preserve"> Advance and Other GOJ Receivables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</si>
</sst>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4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showOutlineSymbols="0" zoomScale="75" zoomScaleNormal="75" zoomScaleSheetLayoutView="75" workbookViewId="0">
      <selection activeCell="A68" sqref="A68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4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145" t="s">
        <v>89</v>
      </c>
      <c r="B5" s="4"/>
      <c r="C5" s="4"/>
      <c r="D5" s="4"/>
      <c r="F5" s="4"/>
    </row>
    <row r="6" spans="1:6" ht="18.75">
      <c r="A6" s="146" t="s">
        <v>90</v>
      </c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>
      <c r="A8" s="8"/>
      <c r="B8" s="9"/>
      <c r="C8" s="10"/>
      <c r="D8" s="9"/>
      <c r="E8" s="10"/>
      <c r="F8" s="9"/>
    </row>
    <row r="9" spans="1:6" s="14" customFormat="1" ht="20.25">
      <c r="A9" s="11" t="s">
        <v>1</v>
      </c>
      <c r="B9" s="12"/>
      <c r="C9" s="13"/>
      <c r="D9" s="12"/>
      <c r="E9" s="13"/>
      <c r="F9" s="12"/>
    </row>
    <row r="10" spans="1:6" s="14" customFormat="1" ht="20.25">
      <c r="A10" s="15" t="s">
        <v>2</v>
      </c>
      <c r="B10" s="16"/>
      <c r="C10" s="17"/>
      <c r="D10" s="16"/>
      <c r="E10" s="17"/>
      <c r="F10" s="16"/>
    </row>
    <row r="11" spans="1:6" s="14" customFormat="1" ht="20.25">
      <c r="A11" s="15" t="s">
        <v>86</v>
      </c>
      <c r="B11" s="16"/>
      <c r="C11" s="17"/>
      <c r="D11" s="16"/>
      <c r="E11" s="17"/>
      <c r="F11" s="16"/>
    </row>
    <row r="12" spans="1:6" s="14" customFormat="1">
      <c r="A12" s="18" t="s">
        <v>3</v>
      </c>
      <c r="B12" s="19"/>
      <c r="C12" s="19"/>
      <c r="D12" s="19"/>
      <c r="E12" s="19"/>
      <c r="F12" s="20"/>
    </row>
    <row r="13" spans="1:6" s="14" customFormat="1">
      <c r="A13" s="21"/>
      <c r="B13" s="66">
        <v>2012</v>
      </c>
      <c r="C13" s="22"/>
      <c r="D13" s="66">
        <v>2013</v>
      </c>
      <c r="E13" s="23"/>
      <c r="F13" s="66">
        <v>2013</v>
      </c>
    </row>
    <row r="14" spans="1:6" s="14" customFormat="1">
      <c r="A14" s="21"/>
      <c r="B14" s="67" t="s">
        <v>87</v>
      </c>
      <c r="C14" s="24"/>
      <c r="D14" s="67" t="s">
        <v>85</v>
      </c>
      <c r="E14" s="24"/>
      <c r="F14" s="67" t="s">
        <v>88</v>
      </c>
    </row>
    <row r="15" spans="1:6" s="14" customFormat="1">
      <c r="A15" s="21"/>
      <c r="B15" s="68" t="s">
        <v>5</v>
      </c>
      <c r="C15" s="24"/>
      <c r="D15" s="68" t="s">
        <v>5</v>
      </c>
      <c r="E15" s="24"/>
      <c r="F15" s="68" t="s">
        <v>5</v>
      </c>
    </row>
    <row r="16" spans="1:6" s="14" customFormat="1">
      <c r="A16" s="25" t="s">
        <v>6</v>
      </c>
      <c r="B16" s="69"/>
      <c r="C16" s="26"/>
      <c r="D16" s="69"/>
      <c r="E16" s="26"/>
      <c r="F16" s="69"/>
    </row>
    <row r="17" spans="1:6" s="14" customFormat="1">
      <c r="A17" s="27" t="s">
        <v>7</v>
      </c>
      <c r="B17" s="69"/>
      <c r="C17" s="26"/>
      <c r="D17" s="69"/>
      <c r="E17" s="26"/>
      <c r="F17" s="69"/>
    </row>
    <row r="18" spans="1:6" s="14" customFormat="1">
      <c r="A18" s="21" t="s">
        <v>8</v>
      </c>
      <c r="B18" s="70">
        <f>45969018-28825</f>
        <v>45940193</v>
      </c>
      <c r="C18" s="28"/>
      <c r="D18" s="70">
        <f>38415269-9975</f>
        <v>38405294</v>
      </c>
      <c r="E18" s="28"/>
      <c r="F18" s="70">
        <f>38836561-15150</f>
        <v>38821411</v>
      </c>
    </row>
    <row r="19" spans="1:6" s="14" customFormat="1">
      <c r="A19" s="21" t="s">
        <v>9</v>
      </c>
      <c r="B19" s="70">
        <f>55451+35767103+152507781+13655103+316-45969018+28825</f>
        <v>156045561</v>
      </c>
      <c r="C19" s="28"/>
      <c r="D19" s="70">
        <f>117111+23678639+105537865+15541119+398-38415269+9975</f>
        <v>106469838</v>
      </c>
      <c r="E19" s="28"/>
      <c r="F19" s="70">
        <f>116430+35551411+106045240+15517023+791-38836561+15150</f>
        <v>118409484</v>
      </c>
    </row>
    <row r="20" spans="1:6" s="14" customFormat="1">
      <c r="A20" s="21" t="s">
        <v>42</v>
      </c>
      <c r="B20" s="70">
        <v>28074147</v>
      </c>
      <c r="C20" s="28"/>
      <c r="D20" s="70">
        <v>26755982</v>
      </c>
      <c r="E20" s="28"/>
      <c r="F20" s="70">
        <v>29253009</v>
      </c>
    </row>
    <row r="21" spans="1:6" s="14" customFormat="1">
      <c r="A21" s="27" t="s">
        <v>10</v>
      </c>
      <c r="B21" s="71">
        <f>+B18+B19+B20</f>
        <v>230059901</v>
      </c>
      <c r="C21" s="29"/>
      <c r="D21" s="71">
        <f>+D18+D19+D20</f>
        <v>171631114</v>
      </c>
      <c r="E21" s="29"/>
      <c r="F21" s="71">
        <f>+F18+F19+F20</f>
        <v>186483904</v>
      </c>
    </row>
    <row r="22" spans="1:6" s="14" customFormat="1">
      <c r="A22" s="21"/>
      <c r="B22" s="70"/>
      <c r="C22" s="28"/>
      <c r="D22" s="70"/>
      <c r="E22" s="28"/>
      <c r="F22" s="70"/>
    </row>
    <row r="23" spans="1:6" s="14" customFormat="1">
      <c r="A23" s="27" t="s">
        <v>11</v>
      </c>
      <c r="B23" s="70"/>
      <c r="C23" s="28"/>
      <c r="D23" s="70"/>
      <c r="E23" s="28"/>
      <c r="F23" s="70"/>
    </row>
    <row r="24" spans="1:6" s="14" customFormat="1">
      <c r="A24" s="21" t="s">
        <v>12</v>
      </c>
      <c r="B24" s="70" t="s">
        <v>13</v>
      </c>
      <c r="C24" s="28"/>
      <c r="D24" s="70" t="s">
        <v>13</v>
      </c>
      <c r="E24" s="28"/>
      <c r="F24" s="70" t="s">
        <v>13</v>
      </c>
    </row>
    <row r="25" spans="1:6" s="14" customFormat="1">
      <c r="A25" s="21" t="s">
        <v>44</v>
      </c>
      <c r="B25" s="70">
        <f>37+92512220</f>
        <v>92512257</v>
      </c>
      <c r="C25" s="28"/>
      <c r="D25" s="70">
        <f>2932+99667482</f>
        <v>99670414</v>
      </c>
      <c r="E25" s="28"/>
      <c r="F25" s="70">
        <f>2940+100514647</f>
        <v>100517587</v>
      </c>
    </row>
    <row r="26" spans="1:6" s="14" customFormat="1" hidden="1">
      <c r="A26" s="21" t="s">
        <v>14</v>
      </c>
      <c r="B26" s="70">
        <f>0</f>
        <v>0</v>
      </c>
      <c r="C26" s="28"/>
      <c r="D26" s="70">
        <f>0</f>
        <v>0</v>
      </c>
      <c r="E26" s="28"/>
      <c r="F26" s="70">
        <f>0</f>
        <v>0</v>
      </c>
    </row>
    <row r="27" spans="1:6" s="14" customFormat="1" hidden="1">
      <c r="A27" s="21" t="s">
        <v>15</v>
      </c>
      <c r="B27" s="70">
        <v>0</v>
      </c>
      <c r="C27" s="28"/>
      <c r="D27" s="70">
        <v>0</v>
      </c>
      <c r="E27" s="28"/>
      <c r="F27" s="70">
        <v>0</v>
      </c>
    </row>
    <row r="28" spans="1:6" s="14" customFormat="1">
      <c r="A28" s="21" t="s">
        <v>48</v>
      </c>
      <c r="B28" s="72">
        <v>13369262</v>
      </c>
      <c r="C28" s="47"/>
      <c r="D28" s="72">
        <f>9714219+14594155</f>
        <v>24308374</v>
      </c>
      <c r="E28" s="28"/>
      <c r="F28" s="72">
        <f>9714219+15661695</f>
        <v>25375914</v>
      </c>
    </row>
    <row r="29" spans="1:6" s="14" customFormat="1" ht="17.25" hidden="1" customHeight="1">
      <c r="A29" s="21" t="s">
        <v>16</v>
      </c>
      <c r="B29" s="70">
        <v>0</v>
      </c>
      <c r="C29" s="30"/>
      <c r="D29" s="70">
        <v>0</v>
      </c>
      <c r="E29" s="31"/>
      <c r="F29" s="70">
        <v>0</v>
      </c>
    </row>
    <row r="30" spans="1:6" s="14" customFormat="1" hidden="1">
      <c r="A30" s="21" t="s">
        <v>17</v>
      </c>
      <c r="B30" s="70">
        <v>151</v>
      </c>
      <c r="C30" s="28"/>
      <c r="D30" s="70">
        <v>0</v>
      </c>
      <c r="E30" s="28"/>
      <c r="F30" s="70">
        <v>0</v>
      </c>
    </row>
    <row r="31" spans="1:6" s="14" customFormat="1">
      <c r="A31" s="21" t="s">
        <v>18</v>
      </c>
      <c r="B31" s="73">
        <f>104064+4315897+3452736+1058+3955000+10867049+2472530+55042</f>
        <v>25223376</v>
      </c>
      <c r="C31" s="28"/>
      <c r="D31" s="73">
        <f>88229+4206706+3374098+1079+4100417+13762496</f>
        <v>25533025</v>
      </c>
      <c r="E31" s="28"/>
      <c r="F31" s="73">
        <f>116788+4206706+3339954+1081+4477737+13677390-1058</f>
        <v>25818598</v>
      </c>
    </row>
    <row r="32" spans="1:6" s="14" customFormat="1">
      <c r="A32" s="27" t="s">
        <v>19</v>
      </c>
      <c r="B32" s="74">
        <f>SUM(B25:B31)</f>
        <v>131105046</v>
      </c>
      <c r="C32" s="32"/>
      <c r="D32" s="74">
        <f>SUM(D25:D31)</f>
        <v>149511813</v>
      </c>
      <c r="E32" s="32"/>
      <c r="F32" s="74">
        <f>SUM(F25:F31)</f>
        <v>151712099</v>
      </c>
    </row>
    <row r="33" spans="1:6" s="14" customFormat="1" ht="18" thickBot="1">
      <c r="A33" s="25" t="s">
        <v>20</v>
      </c>
      <c r="B33" s="75">
        <f>+B32+B21</f>
        <v>361164947</v>
      </c>
      <c r="C33" s="32"/>
      <c r="D33" s="75">
        <f>+D32+D21</f>
        <v>321142927</v>
      </c>
      <c r="E33" s="32"/>
      <c r="F33" s="75">
        <f>+F32+F21</f>
        <v>338196003</v>
      </c>
    </row>
    <row r="34" spans="1:6" s="14" customFormat="1" ht="18" thickTop="1">
      <c r="A34" s="21"/>
      <c r="B34" s="70"/>
      <c r="C34" s="28"/>
      <c r="D34" s="70"/>
      <c r="E34" s="28"/>
      <c r="F34" s="70"/>
    </row>
    <row r="35" spans="1:6" s="14" customFormat="1">
      <c r="A35" s="25" t="s">
        <v>21</v>
      </c>
      <c r="B35" s="70"/>
      <c r="C35" s="28"/>
      <c r="D35" s="70"/>
      <c r="E35" s="28"/>
      <c r="F35" s="70"/>
    </row>
    <row r="36" spans="1:6" s="14" customFormat="1">
      <c r="A36" s="27" t="s">
        <v>22</v>
      </c>
      <c r="B36" s="76"/>
      <c r="C36" s="28"/>
      <c r="D36" s="76"/>
      <c r="E36" s="28"/>
      <c r="F36" s="76"/>
    </row>
    <row r="37" spans="1:6" s="14" customFormat="1">
      <c r="A37" s="21" t="s">
        <v>23</v>
      </c>
      <c r="B37" s="70">
        <f>51480002+2427037</f>
        <v>53907039</v>
      </c>
      <c r="C37" s="28"/>
      <c r="D37" s="70">
        <f>53193511+2623307</f>
        <v>55816818</v>
      </c>
      <c r="E37" s="28"/>
      <c r="F37" s="70">
        <f>53742324+2637658</f>
        <v>56379982</v>
      </c>
    </row>
    <row r="38" spans="1:6" s="14" customFormat="1">
      <c r="A38" s="21" t="s">
        <v>24</v>
      </c>
      <c r="B38" s="76"/>
      <c r="C38" s="28"/>
      <c r="D38" s="76"/>
      <c r="E38" s="28"/>
      <c r="F38" s="76"/>
    </row>
    <row r="39" spans="1:6" s="14" customFormat="1">
      <c r="A39" s="21" t="s">
        <v>25</v>
      </c>
      <c r="B39" s="70">
        <f>29924647+28754+145871+8937547</f>
        <v>39036819</v>
      </c>
      <c r="C39" s="28"/>
      <c r="D39" s="70">
        <f>17223343+32873+484005+793501</f>
        <v>18533722</v>
      </c>
      <c r="E39" s="28"/>
      <c r="F39" s="70">
        <f>21428362+33180+484941+9567667</f>
        <v>31514150</v>
      </c>
    </row>
    <row r="40" spans="1:6" s="14" customFormat="1">
      <c r="A40" s="21" t="s">
        <v>26</v>
      </c>
      <c r="B40" s="70">
        <f>57448234+17774391+6929</f>
        <v>75229554</v>
      </c>
      <c r="C40" s="28"/>
      <c r="D40" s="70">
        <f>55994129+17324493+6754</f>
        <v>73325376</v>
      </c>
      <c r="E40" s="28"/>
      <c r="F40" s="70">
        <f>48253190+29095653+6754</f>
        <v>77355597</v>
      </c>
    </row>
    <row r="41" spans="1:6" s="14" customFormat="1">
      <c r="A41" s="21" t="s">
        <v>27</v>
      </c>
      <c r="B41" s="70">
        <f>49183537-1654000</f>
        <v>47529537</v>
      </c>
      <c r="C41" s="28"/>
      <c r="D41" s="70">
        <f>69343507-9738000</f>
        <v>59605507</v>
      </c>
      <c r="E41" s="28"/>
      <c r="F41" s="70">
        <f>63923488-5449000+91</f>
        <v>58474579</v>
      </c>
    </row>
    <row r="42" spans="1:6" s="14" customFormat="1">
      <c r="A42" s="21" t="s">
        <v>28</v>
      </c>
      <c r="B42" s="70">
        <f>176527735-28754-90626700-145871-8937547-57448234-17774391-6929</f>
        <v>1559309</v>
      </c>
      <c r="C42" s="28"/>
      <c r="D42" s="70">
        <f>115544228-32873-35593488-484005-793501-55994129-17324493-6754-3088431</f>
        <v>2226554</v>
      </c>
      <c r="E42" s="28"/>
      <c r="F42" s="70">
        <f>124882738-33180-36176926-3088431-484941-9567667-48253190-29095653-6754+4030221</f>
        <v>2206217</v>
      </c>
    </row>
    <row r="43" spans="1:6" s="14" customFormat="1">
      <c r="A43" s="27" t="s">
        <v>29</v>
      </c>
      <c r="B43" s="74">
        <f>SUM(B37:B42)</f>
        <v>217262258</v>
      </c>
      <c r="C43" s="32"/>
      <c r="D43" s="74">
        <f>SUM(D37:D42)</f>
        <v>209507977</v>
      </c>
      <c r="E43" s="32"/>
      <c r="F43" s="74">
        <f>SUM(F37:F42)</f>
        <v>225930525</v>
      </c>
    </row>
    <row r="44" spans="1:6" s="14" customFormat="1">
      <c r="A44" s="33"/>
      <c r="B44" s="70"/>
      <c r="C44" s="28"/>
      <c r="D44" s="70"/>
      <c r="E44" s="28"/>
      <c r="F44" s="70"/>
    </row>
    <row r="45" spans="1:6" s="14" customFormat="1">
      <c r="A45" s="27" t="s">
        <v>30</v>
      </c>
      <c r="B45" s="70"/>
      <c r="C45" s="28"/>
      <c r="D45" s="70"/>
      <c r="E45" s="28"/>
      <c r="F45" s="70"/>
    </row>
    <row r="46" spans="1:6" s="14" customFormat="1">
      <c r="A46" s="21" t="s">
        <v>43</v>
      </c>
      <c r="B46" s="70">
        <f>36280382</f>
        <v>36280382</v>
      </c>
      <c r="C46" s="28"/>
      <c r="D46" s="70">
        <v>35362449</v>
      </c>
      <c r="E46" s="28"/>
      <c r="F46" s="70">
        <v>39109601</v>
      </c>
    </row>
    <row r="47" spans="1:6" s="14" customFormat="1">
      <c r="A47" s="21" t="s">
        <v>31</v>
      </c>
      <c r="B47" s="70">
        <f>20725-51771+55042</f>
        <v>23996</v>
      </c>
      <c r="C47" s="28"/>
      <c r="D47" s="70">
        <f>142644-5635</f>
        <v>137009</v>
      </c>
      <c r="E47" s="28"/>
      <c r="F47" s="70">
        <f>5967+3453</f>
        <v>9420</v>
      </c>
    </row>
    <row r="48" spans="1:6" s="14" customFormat="1">
      <c r="A48" s="21" t="s">
        <v>32</v>
      </c>
      <c r="B48" s="70">
        <f>1654000+90626700</f>
        <v>92280700</v>
      </c>
      <c r="C48" s="28"/>
      <c r="D48" s="70">
        <f>9738000+35593488+8964953+3088431</f>
        <v>57384872</v>
      </c>
      <c r="E48" s="28"/>
      <c r="F48" s="70">
        <f>5449000+36176926+3088431+8926020-91</f>
        <v>53640286</v>
      </c>
    </row>
    <row r="49" spans="1:8" s="14" customFormat="1">
      <c r="A49" s="21" t="s">
        <v>49</v>
      </c>
      <c r="B49" s="72">
        <v>163884</v>
      </c>
      <c r="C49" s="28"/>
      <c r="D49" s="72">
        <f>-14594155+14594155</f>
        <v>0</v>
      </c>
      <c r="E49" s="28"/>
      <c r="F49" s="72">
        <f>-15661695+15661695</f>
        <v>0</v>
      </c>
    </row>
    <row r="50" spans="1:8" s="14" customFormat="1">
      <c r="A50" s="21" t="s">
        <v>33</v>
      </c>
      <c r="B50" s="70">
        <f>322907+2100216-1</f>
        <v>2423122</v>
      </c>
      <c r="C50" s="28"/>
      <c r="D50" s="70">
        <f>357256+2104362+7968873</f>
        <v>10430491</v>
      </c>
      <c r="E50" s="32"/>
      <c r="F50" s="70">
        <f>212495+2099316+8067371</f>
        <v>10379182</v>
      </c>
    </row>
    <row r="51" spans="1:8" s="14" customFormat="1">
      <c r="A51" s="27" t="s">
        <v>34</v>
      </c>
      <c r="B51" s="74">
        <f>SUM(B46:B50)</f>
        <v>131172084</v>
      </c>
      <c r="C51" s="32"/>
      <c r="D51" s="74">
        <f>SUM(D46:D50)</f>
        <v>103314821</v>
      </c>
      <c r="E51" s="28"/>
      <c r="F51" s="74">
        <f>SUM(F46:F50)</f>
        <v>103138489</v>
      </c>
    </row>
    <row r="52" spans="1:8" s="14" customFormat="1">
      <c r="A52" s="21"/>
      <c r="B52" s="70"/>
      <c r="C52" s="28"/>
      <c r="D52" s="70"/>
      <c r="E52" s="28"/>
      <c r="F52" s="70"/>
    </row>
    <row r="53" spans="1:8" s="14" customFormat="1">
      <c r="A53" s="27" t="s">
        <v>35</v>
      </c>
      <c r="B53" s="70"/>
      <c r="C53" s="28"/>
      <c r="D53" s="70"/>
      <c r="E53" s="28"/>
      <c r="F53" s="70"/>
    </row>
    <row r="54" spans="1:8" s="14" customFormat="1">
      <c r="A54" s="21" t="s">
        <v>36</v>
      </c>
      <c r="B54" s="70"/>
      <c r="C54" s="28"/>
      <c r="D54" s="70"/>
      <c r="E54" s="28"/>
      <c r="F54" s="70"/>
    </row>
    <row r="55" spans="1:8" s="14" customFormat="1">
      <c r="A55" s="21" t="s">
        <v>37</v>
      </c>
      <c r="B55" s="70">
        <f>4000</f>
        <v>4000</v>
      </c>
      <c r="C55" s="28"/>
      <c r="D55" s="70">
        <f>4000</f>
        <v>4000</v>
      </c>
      <c r="E55" s="28"/>
      <c r="F55" s="70">
        <f>4000</f>
        <v>4000</v>
      </c>
    </row>
    <row r="56" spans="1:8" s="14" customFormat="1">
      <c r="A56" s="21" t="s">
        <v>38</v>
      </c>
      <c r="B56" s="70">
        <v>20000</v>
      </c>
      <c r="C56" s="28"/>
      <c r="D56" s="70">
        <v>20000</v>
      </c>
      <c r="E56" s="28"/>
      <c r="F56" s="70">
        <v>20000</v>
      </c>
    </row>
    <row r="57" spans="1:8" s="14" customFormat="1">
      <c r="A57" s="21" t="s">
        <v>39</v>
      </c>
      <c r="B57" s="73">
        <v>12706605</v>
      </c>
      <c r="C57" s="28"/>
      <c r="D57" s="73">
        <v>8296129</v>
      </c>
      <c r="E57" s="28"/>
      <c r="F57" s="73">
        <v>9102989</v>
      </c>
    </row>
    <row r="58" spans="1:8" s="14" customFormat="1">
      <c r="A58" s="27" t="s">
        <v>40</v>
      </c>
      <c r="B58" s="77">
        <f>SUM(B55:B57)</f>
        <v>12730605</v>
      </c>
      <c r="C58" s="32"/>
      <c r="D58" s="77">
        <f>SUM(D55:D57)</f>
        <v>8320129</v>
      </c>
      <c r="E58" s="32"/>
      <c r="F58" s="77">
        <f>SUM(F55:F57)</f>
        <v>9126989</v>
      </c>
    </row>
    <row r="59" spans="1:8" s="14" customFormat="1" ht="18" thickBot="1">
      <c r="A59" s="34" t="s">
        <v>41</v>
      </c>
      <c r="B59" s="78">
        <f>B43+B51+B58</f>
        <v>361164947</v>
      </c>
      <c r="C59" s="35"/>
      <c r="D59" s="78">
        <f>D43+D51+D58</f>
        <v>321142927</v>
      </c>
      <c r="E59" s="36"/>
      <c r="F59" s="78">
        <f>F43+F51+F58</f>
        <v>338196003</v>
      </c>
    </row>
    <row r="60" spans="1:8" s="14" customFormat="1" ht="18" thickTop="1">
      <c r="A60" s="21"/>
      <c r="B60" s="46"/>
      <c r="C60" s="26"/>
      <c r="D60" s="37"/>
      <c r="E60" s="37"/>
      <c r="F60" s="38"/>
    </row>
    <row r="61" spans="1:8" s="14" customFormat="1" ht="15" customHeight="1">
      <c r="A61" s="18"/>
      <c r="B61" s="19"/>
      <c r="C61" s="39"/>
      <c r="D61" s="19"/>
      <c r="E61" s="39"/>
      <c r="F61" s="20"/>
    </row>
    <row r="62" spans="1:8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8" s="14" customFormat="1">
      <c r="A63" s="48" t="s">
        <v>91</v>
      </c>
      <c r="B63" s="40"/>
      <c r="C63" s="41"/>
      <c r="D63" s="42"/>
      <c r="E63" s="40"/>
      <c r="F63" s="42"/>
    </row>
    <row r="64" spans="1:8" s="14" customFormat="1">
      <c r="A64" s="21" t="s">
        <v>45</v>
      </c>
      <c r="B64" s="26"/>
      <c r="C64" s="26"/>
      <c r="D64" s="43"/>
      <c r="E64" s="26"/>
      <c r="F64" s="43"/>
      <c r="G64" s="26"/>
      <c r="H64" s="26"/>
    </row>
    <row r="65" spans="1:6" s="14" customFormat="1">
      <c r="A65" s="18" t="s">
        <v>84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43" t="s">
        <v>57</v>
      </c>
      <c r="B2" s="143"/>
      <c r="C2" s="143"/>
      <c r="D2" s="143"/>
      <c r="E2" s="144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 t="shared" ref="E37" si="0"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- 08 May 2013</vt:lpstr>
      <vt:lpstr>DEFERRED FRAN NOTES CHRG TO RES</vt:lpstr>
      <vt:lpstr>DEFERRED FRAN NOTES CHRG TO P&amp;L</vt:lpstr>
      <vt:lpstr>P&amp;L-DEFERRED FRAN NOTES CHRG </vt:lpstr>
      <vt:lpstr>'Balance Sheet - 08 May 2013'!Print_Area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2013-05-16T21:45:21Z</cp:lastPrinted>
  <dcterms:created xsi:type="dcterms:W3CDTF">2009-02-04T22:27:27Z</dcterms:created>
  <dcterms:modified xsi:type="dcterms:W3CDTF">2013-05-22T16:11:46Z</dcterms:modified>
</cp:coreProperties>
</file>